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LNCCttYPcyHVRQlpXCrPhSjFrAGvBtCxwiAGMJN1sS72kiRkN549VGsu+szMEOzcNqRWXKutsm3EKdSaeQCEag==" workbookSaltValue="v5PIdwIew4ubaqZEfitOf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Z14" i="17"/>
  <c r="R30" i="17"/>
  <c r="K26" i="2"/>
  <c r="M23" i="2"/>
  <c r="F30" i="17"/>
  <c r="F26" i="17"/>
  <c r="BF22" i="11"/>
  <c r="BM13" i="11"/>
  <c r="BL11" i="11"/>
  <c r="BL21" i="11"/>
  <c r="T18" i="16"/>
  <c r="BG21" i="11"/>
  <c r="BV28" i="16"/>
  <c r="BW13" i="20"/>
  <c r="BU29" i="17"/>
  <c r="BV11" i="16"/>
  <c r="BW11" i="20"/>
  <c r="S21" i="17"/>
  <c r="BW28" i="20"/>
  <c r="BU13" i="17"/>
  <c r="S11" i="17"/>
  <c r="BV20" i="16"/>
  <c r="S25" i="17"/>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BD9" i="8"/>
  <c r="X12" i="17"/>
  <c r="L22" i="2"/>
  <c r="X22" i="16"/>
  <c r="S16" i="17"/>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Y32" i="20"/>
  <c r="L32" i="20"/>
  <c r="H32" i="20"/>
  <c r="F32" i="20"/>
  <c r="G26" i="14"/>
  <c r="S32" i="20"/>
  <c r="AQ32" i="21"/>
  <c r="AJ32" i="20"/>
  <c r="AX32" i="20"/>
  <c r="AG32" i="20"/>
  <c r="T32" i="21"/>
  <c r="AF32" i="20"/>
  <c r="K32" i="20"/>
  <c r="O17" i="11"/>
  <c r="BF17" i="8" l="1"/>
  <c r="L17" i="14"/>
  <c r="AH14" i="16"/>
  <c r="T31" i="8"/>
  <c r="F14" i="7"/>
  <c r="H28" i="2"/>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2" i="17"/>
  <c r="BU17" i="17"/>
  <c r="BV22" i="16"/>
  <c r="BW10" i="20"/>
  <c r="BU19" i="17"/>
  <c r="BU9" i="17"/>
  <c r="X21" i="16"/>
  <c r="BV25" i="16"/>
  <c r="BV21" i="16"/>
  <c r="BV13" i="16"/>
  <c r="BU25" i="17"/>
  <c r="AP18" i="20"/>
  <c r="BK18" i="11"/>
  <c r="R18" i="20"/>
  <c r="R23" i="20" s="1"/>
  <c r="BG9" i="11"/>
  <c r="BI16" i="11"/>
  <c r="BJ21" i="11"/>
  <c r="BK19" i="11"/>
  <c r="P18" i="17"/>
  <c r="S20" i="14"/>
  <c r="V20" i="14" s="1"/>
  <c r="AZ17" i="11"/>
  <c r="S28" i="17"/>
  <c r="BV9" i="16"/>
  <c r="BU12" i="17"/>
  <c r="BW21" i="20"/>
  <c r="V12" i="16"/>
  <c r="BV29" i="16"/>
  <c r="BU18" i="17"/>
  <c r="BW22" i="20"/>
  <c r="BV10" i="16"/>
  <c r="BW29" i="20"/>
  <c r="U10" i="17"/>
  <c r="BU20" i="17"/>
  <c r="BW16" i="20"/>
  <c r="U13" i="17"/>
  <c r="BV16" i="16"/>
  <c r="BU22" i="17"/>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9" i="12" l="1"/>
  <c r="K17"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<sst xmlns="http://schemas.openxmlformats.org/spreadsheetml/2006/main" count="2640" uniqueCount="1175">
  <si>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</si>
  <si>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</si>
  <si>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</si>
  <si>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</si>
  <si>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</si>
  <si>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</si>
  <si>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</si>
  <si>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</si>
  <si>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</si>
  <si>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</si>
  <si>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</si>
  <si>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</si>
  <si>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</si>
  <si>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</si>
  <si>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</si>
  <si>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</si>
  <si>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</si>
  <si>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</si>
  <si>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</si>
  <si>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</si>
  <si>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</si>
  <si>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</si>
  <si>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</si>
  <si>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</si>
  <si>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</si>
  <si>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</si>
  <si>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</si>
  <si>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</si>
  <si>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</si>
  <si>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</si>
  <si>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</si>
  <si>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</si>
  <si>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</si>
  <si>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</si>
  <si>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</si>
  <si>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</si>
  <si>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</si>
  <si>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</si>
  <si>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</si>
  <si>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</si>
  <si>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</si>
  <si>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</si>
  <si>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</si>
  <si>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</si>
  <si>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</si>
  <si>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</si>
  <si>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</si>
  <si>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</si>
  <si>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</si>
  <si>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</si>
  <si>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</si>
  <si>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</si>
  <si>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</si>
  <si>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</si>
  <si>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</si>
  <si>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</si>
  <si>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</si>
  <si>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</si>
  <si>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</si>
  <si>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</si>
  <si>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</si>
  <si>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</si>
  <si>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</si>
  <si>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</si>
  <si>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</si>
  <si>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</si>
  <si>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</si>
  <si>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</si>
  <si>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</si>
  <si>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</si>
  <si>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</si>
  <si>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</si>
  <si>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</si>
  <si>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</si>
  <si>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</si>
  <si>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</si>
  <si>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</si>
  <si>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</si>
  <si>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</si>
  <si>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</si>
  <si>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</si>
  <si>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</si>
  <si>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</si>
  <si>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</si>
  <si>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</si>
  <si>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</si>
  <si>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</si>
  <si>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</si>
  <si>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</si>
  <si>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</si>
  <si>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</si>
  <si>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</si>
  <si>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</si>
  <si>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</si>
  <si>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</si>
  <si>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</si>
  <si>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</si>
  <si>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</si>
  <si>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</si>
  <si>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</si>
  <si>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</si>
  <si>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</si>
  <si>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</si>
  <si>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</si>
  <si>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</si>
  <si>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</si>
  <si>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</si>
  <si>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</si>
  <si>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</si>
  <si>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</si>
  <si>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</si>
  <si>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</si>
  <si>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</si>
  <si>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</si>
  <si>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</si>
  <si>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</si>
  <si>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</si>
  <si>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</si>
  <si>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</si>
  <si>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</si>
  <si>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</si>
  <si>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</si>
  <si>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</si>
  <si>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</si>
  <si>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</si>
  <si>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</si>
  <si>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</si>
  <si>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</si>
  <si>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</si>
  <si>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</si>
  <si>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</si>
  <si>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</si>
  <si>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</si>
  <si>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</si>
  <si>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</si>
  <si>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</si>
  <si>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</si>
  <si>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</si>
  <si>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</si>
  <si>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</si>
  <si>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</si>
  <si>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</si>
  <si>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</si>
  <si>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</si>
  <si>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</si>
  <si>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</si>
  <si>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</si>
  <si>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</si>
  <si>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</si>
  <si>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</si>
  <si>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</si>
  <si>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</si>
  <si>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</si>
  <si>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</si>
  <si>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</si>
  <si>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</si>
  <si>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</si>
  <si>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</si>
  <si>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</si>
  <si>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</si>
  <si>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</si>
  <si>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</si>
  <si>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</si>
  <si>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</si>
  <si>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</si>
  <si>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</si>
  <si>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</si>
  <si>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</si>
  <si>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</si>
  <si>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</si>
  <si>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</si>
  <si>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</si>
  <si>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</si>
  <si>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</si>
  <si>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</si>
  <si>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</si>
  <si>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</si>
  <si>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</si>
  <si>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</si>
  <si>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</si>
  <si>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</si>
  <si>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</si>
  <si>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</si>
  <si>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</si>
  <si>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</si>
  <si>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</si>
  <si>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</si>
  <si>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</si>
  <si>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</si>
  <si>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</si>
  <si>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</si>
  <si>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</si>
  <si>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</si>
  <si>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</si>
  <si>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</si>
  <si>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</si>
  <si>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</si>
  <si>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</si>
  <si>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</si>
  <si>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</si>
  <si>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</si>
  <si>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</si>
  <si>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</si>
  <si>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</si>
  <si>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</si>
  <si>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</si>
  <si>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</si>
  <si>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</si>
  <si>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</si>
  <si>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</si>
  <si>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</si>
  <si>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</si>
  <si>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</si>
  <si>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</si>
  <si>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</si>
  <si>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</si>
  <si>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</si>
  <si>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</si>
  <si>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</si>
  <si>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</si>
  <si>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</si>
  <si>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</si>
  <si>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</si>
  <si>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</si>
  <si>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</si>
  <si>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</si>
  <si>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</si>
  <si>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</si>
  <si>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</si>
  <si>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</si>
  <si>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</si>
  <si>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</si>
  <si>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</si>
  <si>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</si>
  <si>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</si>
  <si>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</si>
  <si>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</si>
  <si>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</si>
  <si>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</si>
  <si>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</si>
  <si>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</si>
  <si>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</si>
  <si>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</si>
  <si>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</si>
  <si>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</si>
  <si>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</si>
  <si>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</si>
  <si>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</si>
  <si>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</si>
  <si>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</si>
  <si>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</si>
  <si>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</si>
  <si>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</si>
  <si>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</si>
  <si>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</si>
  <si>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</si>
  <si>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</si>
  <si>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</si>
  <si>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</si>
  <si>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</si>
  <si>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</si>
  <si>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</si>
  <si>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</si>
  <si>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</si>
  <si>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</si>
  <si>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</si>
  <si>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</si>
  <si>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</si>
  <si>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</si>
  <si>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</si>
  <si>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</si>
  <si>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</si>
  <si>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</si>
  <si>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</si>
  <si>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</si>
  <si>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</si>
  <si>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</si>
  <si>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</si>
  <si>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</si>
  <si>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</si>
  <si>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</si>
  <si>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</si>
  <si>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</si>
  <si>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</si>
  <si>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</si>
  <si>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</si>
  <si>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</si>
  <si>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</si>
  <si>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</si>
  <si>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</si>
  <si>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</si>
  <si>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</si>
  <si>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</si>
  <si>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</si>
  <si>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</si>
  <si>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</si>
  <si>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</si>
  <si>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</si>
  <si>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</si>
  <si>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</si>
  <si>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</si>
  <si>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</si>
  <si>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</si>
  <si>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</si>
  <si>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</si>
  <si>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</si>
  <si>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</si>
  <si>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</si>
  <si>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</si>
  <si>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</si>
  <si>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</si>
  <si>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</si>
  <si>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</si>
  <si>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</si>
  <si>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</si>
  <si>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</si>
  <si>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</si>
  <si>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</si>
  <si>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</si>
  <si>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</si>
  <si>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</si>
  <si>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</si>
  <si>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</si>
  <si>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</si>
  <si>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</si>
  <si>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</si>
  <si>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</si>
  <si>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</si>
  <si>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</si>
  <si>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</si>
  <si>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</si>
  <si>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</si>
  <si>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</si>
  <si>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</si>
  <si>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</si>
  <si>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</si>
  <si>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</si>
  <si>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</si>
  <si>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</si>
  <si>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</si>
  <si>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</si>
  <si>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</si>
  <si>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</si>
  <si>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</si>
  <si>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</si>
  <si>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</si>
  <si>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</si>
  <si>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</si>
  <si>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</si>
  <si>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</si>
  <si>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</si>
  <si>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</si>
  <si>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</si>
  <si>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</si>
  <si>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</si>
  <si>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</si>
  <si>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</si>
  <si>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</si>
  <si>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</si>
  <si>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</si>
  <si>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</si>
  <si>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</si>
  <si>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</si>
  <si>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</si>
  <si>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</si>
  <si>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</si>
  <si>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</si>
  <si>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</si>
  <si>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</si>
  <si>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</si>
  <si>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</si>
  <si>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</si>
  <si>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</si>
  <si>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</si>
  <si>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</si>
  <si>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</si>
  <si>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</si>
  <si>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</si>
  <si>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</si>
  <si>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</si>
  <si>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</si>
  <si>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</si>
  <si>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</si>
  <si>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</si>
  <si>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</si>
  <si>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</si>
  <si>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</si>
  <si>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</si>
  <si>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</si>
  <si>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</si>
  <si>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</si>
  <si>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</si>
  <si>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</si>
  <si>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</si>
  <si>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</si>
  <si>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</si>
  <si>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</si>
  <si>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</si>
  <si>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</si>
  <si>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</si>
  <si>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</si>
  <si>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</si>
  <si>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</si>
  <si>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</si>
  <si>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</si>
  <si>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</si>
  <si>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</si>
  <si>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</si>
  <si>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</si>
  <si>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</si>
  <si>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</si>
  <si>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</si>
  <si>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</si>
  <si>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</si>
  <si>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</si>
  <si>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</si>
  <si>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</si>
  <si>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</si>
  <si>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</si>
  <si>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</si>
  <si>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</si>
  <si>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</si>
  <si>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</si>
  <si>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</si>
  <si>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</si>
  <si>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</si>
  <si>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</si>
  <si>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</si>
  <si>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</si>
  <si>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</si>
  <si>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</si>
  <si>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</si>
  <si>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</si>
  <si>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</si>
  <si>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</si>
  <si>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</si>
  <si>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</si>
  <si>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</si>
  <si>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</si>
  <si>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</si>
  <si>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</si>
  <si>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</si>
  <si>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</si>
  <si>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</si>
  <si>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</si>
  <si>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</si>
  <si>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</si>
  <si>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</si>
  <si>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</si>
  <si>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</si>
  <si>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</si>
  <si>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</si>
  <si>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</si>
  <si>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</si>
  <si>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</si>
  <si>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</si>
  <si>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</si>
  <si>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</si>
  <si>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</si>
  <si>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</si>
  <si>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</si>
  <si>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</si>
  <si>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</si>
  <si>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</si>
  <si>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</si>
  <si>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</si>
  <si>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</si>
  <si>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</si>
  <si>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</si>
  <si>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</si>
  <si>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</si>
  <si>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</si>
  <si>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</si>
  <si>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</si>
  <si>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</si>
  <si>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</si>
  <si>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</si>
  <si>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</si>
  <si>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</si>
  <si>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</si>
  <si>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</si>
  <si>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</si>
  <si>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</si>
  <si>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</si>
  <si>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</si>
  <si>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</si>
  <si>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</si>
  <si>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</si>
  <si>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</si>
  <si>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</si>
  <si>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</si>
  <si>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</si>
  <si>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</si>
  <si>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</si>
  <si>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</si>
  <si>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</si>
  <si>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</si>
  <si>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</si>
  <si>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</si>
  <si>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</si>
  <si>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</si>
  <si>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</si>
  <si>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</si>
  <si>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</si>
  <si>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</si>
  <si>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</si>
  <si>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</si>
  <si>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</si>
  <si>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</si>
  <si>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</si>
  <si>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</si>
  <si>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</si>
  <si>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</si>
  <si>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</si>
  <si>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</si>
  <si>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</si>
  <si>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</si>
  <si>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</si>
  <si>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</si>
  <si>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</si>
  <si>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</si>
  <si>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</si>
  <si>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</si>
  <si>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</si>
  <si>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</si>
  <si>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</si>
  <si>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</si>
  <si>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</si>
  <si>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</si>
  <si>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</si>
  <si>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</si>
  <si>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</si>
  <si>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</si>
  <si>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</si>
  <si>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</si>
  <si>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</si>
  <si>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</si>
  <si>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</si>
  <si>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</si>
  <si>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</si>
  <si>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</si>
  <si>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</si>
  <si>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</si>
  <si>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</si>
  <si>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</si>
  <si>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</si>
  <si>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</si>
  <si>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</si>
  <si>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</si>
  <si>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</si>
  <si>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</si>
  <si>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</si>
  <si>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</si>
  <si>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</si>
  <si>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</si>
  <si>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</si>
  <si>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</si>
  <si>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</si>
  <si>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</si>
  <si>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</si>
  <si>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</si>
  <si>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</si>
  <si>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</si>
  <si>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</si>
  <si>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</si>
  <si>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</si>
  <si>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</si>
  <si>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</si>
  <si>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</si>
  <si>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</si>
  <si>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</si>
  <si>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</si>
  <si>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</si>
  <si>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</si>
  <si>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</si>
  <si>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</si>
  <si>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</si>
  <si>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</si>
  <si>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</si>
  <si>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</si>
  <si>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</si>
  <si>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</si>
  <si>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</si>
  <si>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</si>
  <si>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</si>
  <si>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</si>
  <si>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</si>
  <si>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</si>
  <si>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</si>
  <si>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</si>
  <si>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</si>
  <si>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</si>
  <si>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</si>
  <si>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</si>
  <si>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</si>
  <si>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</si>
  <si>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</si>
  <si>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</si>
  <si>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</si>
  <si>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</si>
  <si>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</si>
  <si>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</si>
  <si>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</si>
  <si>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</si>
  <si>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</si>
  <si>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</si>
  <si>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</si>
  <si>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</si>
  <si>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</si>
  <si>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</si>
  <si>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</si>
  <si>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</si>
  <si>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</si>
  <si>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</si>
  <si>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</si>
  <si>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</si>
  <si>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</si>
  <si>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</si>
  <si>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</si>
  <si>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</si>
  <si>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</si>
  <si>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</si>
  <si>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</si>
  <si>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</si>
  <si>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</si>
  <si>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</si>
  <si>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</si>
  <si>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</si>
  <si>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</si>
  <si>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</si>
  <si>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</si>
  <si>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</si>
  <si>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</si>
  <si>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</si>
  <si>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</si>
  <si>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</si>
  <si>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</si>
  <si>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</si>
  <si>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</si>
  <si>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</si>
  <si>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</si>
  <si>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</si>
  <si>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</si>
  <si>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</si>
  <si>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</si>
  <si>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</si>
  <si>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</si>
  <si>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</si>
  <si>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</si>
  <si>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</si>
  <si>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</si>
  <si>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</si>
  <si>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</si>
  <si>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</si>
  <si>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</si>
  <si>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</si>
  <si>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</si>
  <si>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</si>
  <si>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</si>
  <si>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</si>
  <si>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</si>
  <si>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</si>
  <si>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</si>
  <si>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</si>
  <si>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</si>
  <si>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</si>
  <si>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</si>
  <si>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</si>
  <si>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</si>
  <si>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</si>
  <si>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</si>
  <si>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</si>
  <si>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</si>
  <si>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</si>
  <si>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</si>
  <si>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</si>
  <si>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</si>
  <si>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</si>
  <si>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</si>
  <si>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</si>
  <si>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</si>
  <si>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</si>
  <si>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</si>
  <si>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</si>
  <si>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</si>
  <si>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</si>
  <si>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</si>
  <si>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</si>
  <si>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</si>
  <si>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</si>
  <si>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</si>
  <si>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</si>
  <si>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</si>
  <si>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</si>
  <si>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</si>
  <si>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</si>
  <si>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</si>
  <si>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</si>
  <si>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</si>
  <si>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</si>
  <si>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</si>
  <si>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</si>
  <si>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</si>
  <si>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</si>
  <si>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</si>
  <si>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</si>
  <si>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</si>
  <si>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</si>
  <si>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</si>
  <si>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</si>
  <si>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</si>
  <si>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</si>
  <si>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</si>
  <si>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</si>
  <si>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</si>
  <si>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</si>
  <si>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</si>
  <si>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</si>
  <si>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</si>
  <si>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</si>
  <si>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</si>
  <si>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</si>
  <si>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</si>
  <si>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</si>
  <si>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</si>
  <si>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</si>
  <si>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</si>
  <si>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</si>
  <si>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</si>
  <si>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</si>
  <si>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</si>
  <si>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</si>
  <si>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</si>
  <si>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</si>
  <si>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</si>
  <si>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</si>
  <si>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</si>
  <si>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</si>
  <si>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</si>
  <si>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</si>
  <si>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</si>
  <si>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</si>
  <si>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</si>
  <si>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</si>
  <si>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</si>
  <si>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</si>
  <si>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</si>
  <si>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</si>
  <si>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</si>
  <si>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</si>
  <si>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</si>
  <si>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</si>
  <si>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</si>
  <si>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</si>
  <si>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</si>
  <si>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</si>
  <si>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</si>
  <si>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</si>
  <si>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</si>
  <si>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</si>
  <si>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</si>
  <si>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</si>
  <si>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</si>
  <si>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</si>
  <si>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</si>
  <si>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</si>
  <si>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</si>
  <si>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</si>
  <si>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</si>
  <si>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</si>
  <si>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</si>
  <si>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</si>
  <si>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</si>
  <si>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</si>
  <si>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</si>
  <si>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</si>
  <si>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</si>
  <si>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</si>
  <si>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</si>
  <si>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</si>
  <si>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</si>
  <si>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</si>
  <si>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</si>
  <si>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</si>
  <si>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</si>
  <si>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</si>
  <si>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</si>
  <si>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</si>
  <si>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</si>
  <si>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</si>
  <si>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</si>
  <si>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</si>
  <si>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</si>
  <si>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</si>
  <si>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</si>
  <si>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</si>
  <si>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</si>
  <si>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</si>
  <si>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</si>
  <si>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</si>
  <si>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</si>
  <si>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</si>
  <si>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</si>
  <si>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</si>
  <si>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</si>
  <si>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</si>
  <si>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</si>
  <si>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</si>
  <si>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</si>
  <si>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</si>
  <si>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</si>
  <si>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</si>
  <si>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</si>
  <si>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</si>
  <si>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</si>
  <si>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</si>
  <si>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</si>
  <si>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</si>
  <si>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</si>
  <si>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</si>
  <si>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</si>
  <si>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</si>
  <si>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</si>
  <si>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</si>
  <si>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</si>
  <si>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</si>
  <si>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</si>
  <si>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</si>
  <si>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</si>
  <si>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</si>
  <si>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</si>
  <si>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</si>
  <si>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</si>
  <si>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</si>
  <si>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</si>
  <si>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</si>
  <si>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</si>
  <si>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</si>
  <si>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</si>
  <si>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</si>
  <si>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</si>
  <si>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</si>
  <si>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</si>
  <si>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</si>
  <si>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</si>
  <si>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</si>
  <si>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</si>
  <si>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</si>
  <si>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</si>
  <si>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</si>
  <si>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</si>
  <si>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</si>
  <si>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</si>
  <si>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</si>
  <si>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</si>
  <si>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</si>
  <si>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</si>
  <si>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</si>
  <si>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</si>
  <si>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</si>
  <si>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</si>
  <si>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</si>
  <si>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</si>
  <si>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</si>
  <si>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</si>
  <si>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</si>
  <si>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</si>
  <si>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</si>
  <si>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</si>
  <si>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</si>
  <si>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</si>
  <si>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</si>
  <si>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</si>
  <si>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</si>
  <si>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</si>
  <si>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</si>
  <si>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</si>
  <si>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</si>
  <si>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</si>
  <si>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</si>
  <si>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</si>
  <si>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</si>
  <si>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</si>
  <si>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</si>
  <si>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</si>
  <si>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</si>
  <si>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</si>
  <si>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</si>
  <si>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</si>
  <si>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</si>
  <si>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</si>
  <si>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</si>
  <si>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</si>
  <si>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</si>
  <si>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</si>
  <si>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</si>
  <si>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</si>
  <si>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</si>
  <si>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</si>
  <si>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</si>
  <si>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</si>
  <si>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</si>
  <si>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</si>
  <si>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</si>
  <si>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</si>
  <si>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</si>
  <si>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</si>
  <si>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</si>
  <si>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</si>
  <si>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</si>
  <si>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</si>
  <si>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</si>
  <si>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</si>
  <si>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</si>
  <si>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</si>
  <si>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</si>
  <si>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</si>
  <si>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</si>
  <si>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</si>
  <si>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</si>
  <si>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</si>
  <si>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</si>
  <si>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</si>
  <si>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</si>
  <si>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</si>
  <si>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</si>
  <si>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</si>
  <si>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</si>
  <si>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</si>
  <si>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</si>
  <si>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</si>
  <si>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</si>
  <si>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</si>
  <si>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</si>
  <si>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</si>
  <si>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</si>
  <si>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</si>
  <si>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</si>
  <si>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</si>
  <si>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</si>
  <si>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</si>
  <si>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</si>
  <si>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</si>
  <si>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</si>
  <si>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</si>
  <si>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</si>
  <si>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</si>
  <si>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</si>
  <si>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</si>
  <si>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</si>
  <si>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</si>
  <si>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</si>
  <si>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</si>
  <si>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</si>
  <si>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</si>
  <si>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</si>
  <si>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</si>
  <si>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</si>
  <si>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</si>
  <si>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</si>
  <si>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</si>
  <si>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</si>
  <si>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</si>
  <si>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</si>
  <si>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</si>
  <si>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</si>
  <si>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</si>
  <si>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</si>
  <si>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</si>
  <si>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</si>
  <si>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</si>
  <si>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</si>
  <si>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</si>
  <si>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</si>
  <si>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</si>
  <si>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</si>
  <si>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</si>
  <si>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</si>
  <si>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</si>
  <si>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</si>
  <si>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</si>
  <si>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</si>
  <si>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</si>
  <si>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</si>
  <si>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</si>
  <si>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</si>
  <si>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</si>
  <si>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</si>
  <si>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</si>
  <si>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</si>
  <si>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</si>
  <si>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</si>
  <si>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</si>
  <si>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</si>
  <si>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</si>
  <si>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</si>
  <si>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</si>
  <si>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</si>
  <si>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</si>
  <si>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</si>
  <si>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</si>
  <si>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</si>
  <si>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</si>
  <si>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</si>
  <si>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</si>
  <si>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</si>
  <si>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</si>
  <si>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</si>
  <si>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</si>
  <si>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</si>
  <si>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</si>
  <si>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</si>
  <si>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</si>
  <si>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</si>
  <si>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</si>
  <si>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</si>
  <si>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</si>
  <si>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</si>
  <si>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</si>
  <si>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</si>
  <si>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</si>
  <si>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</si>
  <si>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</si>
  <si>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</si>
  <si>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</si>
  <si>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</si>
  <si>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</si>
  <si>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</si>
  <si>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</si>
  <si>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</si>
  <si>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</si>
  <si>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</si>
  <si>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</si>
  <si>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</si>
  <si>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</si>
  <si>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</si>
  <si>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</si>
  <si>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</si>
  <si>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</si>
  <si>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</si>
  <si>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</si>
  <si>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</si>
  <si>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</si>
  <si>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</si>
  <si>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</si>
  <si>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</si>
  <si>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</si>
  <si>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</si>
  <si>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</si>
  <si>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</si>
  <si>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</si>
  <si>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</si>
  <si>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</si>
  <si>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</si>
  <si>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</si>
  <si>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</si>
  <si>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</si>
  <si>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</si>
  <si>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</si>
  <si>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</si>
  <si>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</si>
  <si>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</si>
  <si>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</si>
  <si>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</si>
  <si>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</si>
  <si>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</si>
  <si>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</si>
  <si>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</si>
  <si>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</si>
  <si>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</si>
  <si>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</si>
  <si>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</si>
  <si>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</si>
  <si>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</si>
  <si>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</si>
  <si>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</si>
  <si>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</si>
  <si>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</si>
  <si>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</si>
  <si>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</si>
  <si>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</si>
  <si>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</si>
  <si>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</si>
  <si>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</si>
  <si>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</si>
  <si>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</si>
  <si>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</si>
  <si>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</si>
  <si>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</si>
  <si>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</si>
  <si>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</si>
  <si>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</si>
  <si>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</si>
  <si>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</si>
  <si>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</si>
  <si>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</si>
  <si>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</si>
  <si>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</si>
  <si>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</si>
  <si>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</si>
  <si>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</si>
  <si>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</si>
  <si>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</si>
  <si>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</si>
  <si>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</si>
  <si>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</si>
  <si>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</si>
  <si>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</si>
  <si>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</si>
  <si>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</si>
  <si>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</si>
  <si>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</si>
  <si>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</si>
  <si>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</si>
  <si>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</si>
  <si>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</si>
  <si>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</si>
  <si>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</si>
  <si>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</si>
  <si>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</si>
  <si>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</si>
  <si>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</si>
  <si>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</si>
  <si>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</si>
  <si>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</si>
  <si>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</si>
  <si>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</si>
  <si>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</si>
  <si>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</si>
  <si>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</si>
  <si>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</si>
  <si>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</si>
  <si>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</si>
  <si>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</si>
  <si>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</si>
  <si>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</si>
  <si>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</si>
  <si>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</si>
  <si>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</si>
  <si>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</si>
  <si>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</si>
  <si>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</si>
  <si>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</si>
  <si>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</si>
  <si>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</si>
  <si>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</si>
  <si>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</si>
  <si>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</si>
  <si>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</si>
  <si>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</si>
  <si>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</si>
  <si>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</si>
  <si>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</si>
  <si>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</si>
  <si>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</si>
  <si>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</si>
  <si>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</si>
  <si>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</si>
  <si>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</si>
  <si>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</si>
  <si>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</si>
  <si>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</si>
  <si>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</si>
  <si>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</si>
  <si>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</si>
  <si>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</si>
  <si>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</si>
  <si>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</si>
  <si>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</si>
  <si>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</si>
  <si>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</si>
  <si>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</si>
  <si>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</si>
  <si>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</si>
  <si>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ALCOBENDAS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</si>
</sst>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1169</v>
      </c>
      <c r="B4" s="412"/>
      <c r="C4" s="412"/>
      <c r="D4" s="412"/>
      <c r="E4" s="412"/>
      <c r="F4" s="2"/>
      <c r="Q4" s="391">
        <v>2</v>
      </c>
      <c r="R4" s="391">
        <v>3</v>
      </c>
      <c r="S4" t="b">
        <f>AND(Q4&gt;=TrimIni,Q4&lt;=TrimFin)</f>
        <v>0</v>
      </c>
    </row>
    <row r="5" spans="1:19" ht="15.75" thickBot="1">
      <c r="A5" s="414" t="s">
        <v>55</v>
      </c>
      <c r="B5" s="415">
        <v>2022</v>
      </c>
      <c r="C5" s="416" t="s">
        <v>273</v>
      </c>
      <c r="D5" s="417">
        <v>3</v>
      </c>
      <c r="E5" s="418"/>
      <c r="F5" s="3"/>
      <c r="H5" t="s">
        <v>542</v>
      </c>
      <c r="Q5" s="391">
        <v>3</v>
      </c>
      <c r="R5" s="391">
        <v>2</v>
      </c>
      <c r="S5" t="b">
        <f>AND(Q5&gt;=TrimIni,Q5&lt;=TrimFin)</f>
        <v>1</v>
      </c>
    </row>
    <row r="6" spans="1:19" ht="15">
      <c r="A6" s="419"/>
      <c r="B6" s="418"/>
      <c r="C6" s="416" t="s">
        <v>274</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1170</v>
      </c>
      <c r="B9" s="421" t="s">
        <v>1171</v>
      </c>
      <c r="C9" s="418"/>
      <c r="D9" s="418"/>
      <c r="E9" s="427"/>
      <c r="F9" s="3"/>
    </row>
    <row r="10" spans="1:19">
      <c r="A10" s="426" t="s">
        <v>1172</v>
      </c>
      <c r="B10" s="418" t="s">
        <v>1171</v>
      </c>
      <c r="C10" s="418"/>
      <c r="D10" s="418"/>
      <c r="E10" s="427"/>
      <c r="F10" s="3"/>
      <c r="Q10" s="391">
        <v>0</v>
      </c>
    </row>
    <row r="11" spans="1:19" ht="13.5" thickBot="1">
      <c r="A11" s="428" t="s">
        <v>1173</v>
      </c>
      <c r="B11" s="429" t="s">
        <v>1174</v>
      </c>
      <c r="C11" s="429"/>
      <c r="D11" s="429"/>
      <c r="E11" s="430"/>
      <c r="F11" s="3"/>
    </row>
    <row r="12" spans="1:19" ht="40.5" customHeight="1" thickBot="1">
      <c r="A12" s="420"/>
      <c r="B12" s="418"/>
      <c r="C12" s="418"/>
      <c r="D12" s="418"/>
      <c r="E12" s="418"/>
      <c r="F12" s="3"/>
      <c r="Q12" s="1471"/>
    </row>
    <row r="13" spans="1:19" ht="15">
      <c r="A13" s="431" t="s">
        <v>168</v>
      </c>
      <c r="B13" s="432" t="s">
        <v>87</v>
      </c>
      <c r="C13" s="1079" t="s">
        <v>928</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7ztfTqjGWKbVz9+Tjpjs/XLM0F26cdPvQK1eoahg4JvazKTDH2ruG6MTS/33rQ4hehE0jdo9v+KbrK1e8t64A==" saltValue="QS+s47U9Kgh6iXdmS9Mr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MADRID</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3 al 3</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1088</v>
      </c>
      <c r="T7" s="1523" t="s">
        <v>1089</v>
      </c>
      <c r="U7" s="1523" t="s">
        <v>1090</v>
      </c>
      <c r="V7" s="1523" t="s">
        <v>1091</v>
      </c>
      <c r="W7" s="1455" t="s">
        <v>590</v>
      </c>
      <c r="X7" s="1549" t="s">
        <v>1113</v>
      </c>
      <c r="Y7" s="1549" t="s">
        <v>1114</v>
      </c>
      <c r="Z7" s="1550" t="s">
        <v>1115</v>
      </c>
      <c r="AA7" s="1458" t="s">
        <v>590</v>
      </c>
      <c r="AB7" s="1547" t="s">
        <v>591</v>
      </c>
      <c r="AC7" s="1547" t="s">
        <v>1116</v>
      </c>
      <c r="AD7" s="1548" t="s">
        <v>1117</v>
      </c>
      <c r="AE7" s="1459" t="s">
        <v>1086</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67.164812525751955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72</v>
      </c>
      <c r="D10" s="239">
        <f>IF(ISNUMBER(Datos!I10),Datos!I10," - ")</f>
        <v>72</v>
      </c>
      <c r="E10" s="240">
        <f>IF(ISNUMBER(Datos!J10),Datos!J10," - ")</f>
        <v>17</v>
      </c>
      <c r="F10" s="240">
        <f>IF(ISNUMBER(Datos!K10),Datos!K10," - ")</f>
        <v>20</v>
      </c>
      <c r="G10" s="1390" t="str">
        <f>IF(Datos!E10&lt;&gt;"",Datos!E10,Datos!D10)</f>
        <v>37</v>
      </c>
      <c r="H10" s="241">
        <f>IF(ISNUMBER(Datos!L10),Datos!L10," - ")</f>
        <v>69</v>
      </c>
      <c r="I10" s="1400" t="str">
        <f>IF(ISNUMBER(Datos!AS10/Datos!BM10),Datos!AS10/Datos!BM10," - ")</f>
        <v xml:space="preserve"> - </v>
      </c>
      <c r="J10" s="1401">
        <f>IF(ISNUMBER(Datos!BY10/Datos!CN10),Datos!BY10/Datos!CN10," - ")</f>
        <v>0</v>
      </c>
      <c r="K10" s="244">
        <f t="shared" ref="K10:K13" si="1">IF(ISNUMBER((E10-F10)/C10),(E10-F10)/C10," - ")</f>
        <v>-4.1666666666666664E-2</v>
      </c>
      <c r="L10" s="1402">
        <f>IF(ISNUMBER(NºAsuntos!I10/NºAsuntos!G10),(NºAsuntos!I10/NºAsuntos!G10)*11," - ")</f>
        <v>37.950000000000003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32.275720164609055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72</v>
      </c>
      <c r="D14" s="1407">
        <f>SUBTOTAL(9,D9:D13)</f>
        <v>72</v>
      </c>
      <c r="E14" s="1408">
        <f>SUBTOTAL(9,E9:E13)</f>
        <v>17</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1750</v>
      </c>
      <c r="D16" s="239">
        <f>IF(ISNUMBER(IF(D_I="SI",Datos!I16,Datos!I16+Datos!AC16)),IF(D_I="SI",Datos!I16,Datos!I16+Datos!AC16)," - ")</f>
        <v>1721</v>
      </c>
      <c r="E16" s="240">
        <f>IF(ISNUMBER(IF(D_I="SI",Datos!J16,Datos!J16+Datos!AD16)),IF(D_I="SI",Datos!J16,Datos!J16+Datos!AD16)," - ")</f>
        <v>2729</v>
      </c>
      <c r="F16" s="240">
        <f>IF(ISNUMBER(IF(D_I="SI",Datos!K16,Datos!K16+Datos!AE16)),IF(D_I="SI",Datos!K16,Datos!K16+Datos!AE16)," - ")</f>
        <v>2601</v>
      </c>
      <c r="G16" s="1390" t="str">
        <f>IF(Datos!E16&lt;&gt;"",Datos!E16,Datos!D16)</f>
        <v>03</v>
      </c>
      <c r="H16" s="241">
        <f>IF(ISNUMBER(IF(D_I="SI",Datos!L16,Datos!L16+Datos!AF16)),IF(D_I="SI",Datos!L16,Datos!L16+Datos!AF16)," - ")</f>
        <v>1878</v>
      </c>
      <c r="I16" s="1400" t="str">
        <f>IF(ISNUMBER(Datos!AS16/Datos!BM16),Datos!AS16/Datos!BM16," - ")</f>
        <v xml:space="preserve"> - </v>
      </c>
      <c r="J16" s="1401">
        <f>IF(ISNUMBER(Datos!BY16/Datos!CN16),Datos!BY16/Datos!CN16," - ")</f>
        <v>0</v>
      </c>
      <c r="K16" s="244">
        <f t="shared" ref="K16:K22" si="3">IF(ISNUMBER((E16-F16)/C16),(E16-F16)/C16," - ")</f>
        <v>7.3142857142857148E-2</v>
      </c>
      <c r="L16" s="1402">
        <f>IF(ISNUMBER(NºAsuntos!I16/NºAsuntos!G16),(NºAsuntos!I16/NºAsuntos!G16)*11," - ")</f>
        <v>7.942329873125721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v>
      </c>
      <c r="D17" s="239">
        <f>IF(ISNUMBER(IF(D_I="SI",Datos!I17,Datos!I17+Datos!AC17)),IF(D_I="SI",Datos!I17,Datos!I17+Datos!AC17)," - ")</f>
        <v>1</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154</v>
      </c>
      <c r="D18" s="239">
        <f>IF(ISNUMBER(IF(D_I="SI",Datos!I18,Datos!I18+Datos!AC18)),IF(D_I="SI",Datos!I18,Datos!I18+Datos!AC18)," - ")</f>
        <v>152</v>
      </c>
      <c r="E18" s="240">
        <f>IF(ISNUMBER(IF(D_I="SI",Datos!J18,Datos!J18+Datos!AD18)),IF(D_I="SI",Datos!J18,Datos!J18+Datos!AD18)," - ")</f>
        <v>269</v>
      </c>
      <c r="F18" s="240">
        <f>IF(ISNUMBER(IF(D_I="SI",Datos!K18,Datos!K18+Datos!AE18)),IF(D_I="SI",Datos!K18,Datos!K18+Datos!AE18)," - ")</f>
        <v>215</v>
      </c>
      <c r="G18" s="1390" t="str">
        <f>IF(Datos!E18&lt;&gt;"",Datos!E18,Datos!D18)</f>
        <v>37</v>
      </c>
      <c r="H18" s="241">
        <f>IF(ISNUMBER(IF(D_I="SI",Datos!L18,Datos!L18+Datos!AF18)),IF(D_I="SI",Datos!L18,Datos!L18+Datos!AF18)," - ")</f>
        <v>208</v>
      </c>
      <c r="I18" s="1400" t="str">
        <f>IF(ISNUMBER(Datos!AS18/Datos!BM18),Datos!AS18/Datos!BM18," - ")</f>
        <v xml:space="preserve"> - </v>
      </c>
      <c r="J18" s="1401" t="str">
        <f>IF(ISNUMBER((Datos!BY18+Datos!BZ18)/Datos!CN18),(Datos!BY18+Datos!BZ18)/Datos!CN18," - ")</f>
        <v xml:space="preserve"> - </v>
      </c>
      <c r="K18" s="244">
        <f t="shared" si="3"/>
        <v>0.35064935064935066</v>
      </c>
      <c r="L18" s="1402">
        <f>IF(ISNUMBER(NºAsuntos!I18/NºAsuntos!G18),(NºAsuntos!I18/NºAsuntos!G18)*11," - ")</f>
        <v>10.641860465116279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1905</v>
      </c>
      <c r="D23" s="1407">
        <f>SUBTOTAL(9,D16:D22)</f>
        <v>1874</v>
      </c>
      <c r="E23" s="1408">
        <f>SUBTOTAL(9,E16:E22)</f>
        <v>2998</v>
      </c>
      <c r="F23" s="1408">
        <f>SUBTOTAL(9,F16:F22)</f>
        <v>2816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1977</v>
      </c>
      <c r="D31" s="1435">
        <f>SUBTOTAL(9,D9:D30)</f>
        <v>1946</v>
      </c>
      <c r="E31" s="1436">
        <f>SUBTOTAL(9,E9:E30)</f>
        <v>3015</v>
      </c>
      <c r="F31" s="1436">
        <f>SUBTOTAL(9,F9:F30)</f>
        <v>2836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829</v>
      </c>
      <c r="O37" s="1744"/>
      <c r="P37" s="1744"/>
      <c r="Q37" s="1744"/>
      <c r="R37" s="1744"/>
      <c r="S37" s="1744"/>
      <c r="T37" s="1744"/>
      <c r="U37" s="1744"/>
      <c r="V37" s="1744"/>
      <c r="W37" s="1744"/>
      <c r="Y37" s="1744" t="s">
        <v>830</v>
      </c>
      <c r="Z37" s="1744"/>
      <c r="AA37" s="1744"/>
      <c r="AB37" s="1744"/>
      <c r="AC37" s="1744"/>
    </row>
    <row r="39" spans="2:29">
      <c r="N39" s="1386" t="s">
        <v>831</v>
      </c>
      <c r="O39" s="1745" t="s">
        <v>832</v>
      </c>
      <c r="P39" s="1745"/>
      <c r="Q39" s="1745"/>
      <c r="R39" s="1745"/>
      <c r="S39" s="1745"/>
      <c r="T39" s="1745"/>
      <c r="U39" s="1745"/>
      <c r="V39" s="1745"/>
      <c r="W39" s="1745"/>
      <c r="Y39" s="1386" t="s">
        <v>831</v>
      </c>
      <c r="Z39" s="1746" t="s">
        <v>833</v>
      </c>
      <c r="AA39" s="1746"/>
      <c r="AB39" s="1746"/>
      <c r="AC39" s="1746"/>
    </row>
    <row r="40" spans="2:29">
      <c r="N40" s="1386" t="s">
        <v>834</v>
      </c>
      <c r="O40" s="1745" t="s">
        <v>835</v>
      </c>
      <c r="P40" s="1745"/>
      <c r="Q40" s="1745"/>
      <c r="R40" s="1745"/>
      <c r="S40" s="1745"/>
      <c r="T40" s="1745"/>
      <c r="U40" s="1745"/>
      <c r="V40" s="1745"/>
      <c r="W40" s="1745"/>
      <c r="Y40" s="1386" t="s">
        <v>834</v>
      </c>
      <c r="Z40" s="1746" t="s">
        <v>836</v>
      </c>
      <c r="AA40" s="1746"/>
      <c r="AB40" s="1746"/>
      <c r="AC40" s="1746"/>
    </row>
    <row r="41" spans="2:29">
      <c r="N41" s="1386" t="s">
        <v>837</v>
      </c>
      <c r="O41" s="1745" t="s">
        <v>838</v>
      </c>
      <c r="P41" s="1745"/>
      <c r="Q41" s="1745"/>
      <c r="R41" s="1745"/>
      <c r="S41" s="1745"/>
      <c r="T41" s="1745"/>
      <c r="U41" s="1745"/>
      <c r="V41" s="1745"/>
      <c r="W41" s="1745"/>
      <c r="Y41" s="1386" t="s">
        <v>839</v>
      </c>
      <c r="Z41" s="1746" t="s">
        <v>840</v>
      </c>
      <c r="AA41" s="1746"/>
      <c r="AB41" s="1746"/>
      <c r="AC41" s="1746"/>
    </row>
    <row r="42" spans="2:29">
      <c r="N42" s="1386" t="s">
        <v>841</v>
      </c>
      <c r="O42" s="1745" t="s">
        <v>842</v>
      </c>
      <c r="P42" s="1745"/>
      <c r="Q42" s="1745"/>
      <c r="R42" s="1745"/>
      <c r="S42" s="1745"/>
      <c r="T42" s="1745"/>
      <c r="U42" s="1745"/>
      <c r="V42" s="1745"/>
      <c r="W42" s="1745"/>
      <c r="Y42" s="1386" t="s">
        <v>843</v>
      </c>
      <c r="Z42" s="1746" t="s">
        <v>844</v>
      </c>
      <c r="AA42" s="1746"/>
      <c r="AB42" s="1746"/>
      <c r="AC42" s="1746"/>
    </row>
    <row r="43" spans="2:29">
      <c r="N43" s="1386" t="s">
        <v>931</v>
      </c>
      <c r="O43" s="1745" t="s">
        <v>932</v>
      </c>
      <c r="P43" s="1745"/>
      <c r="Q43" s="1745"/>
      <c r="R43" s="1745"/>
      <c r="S43" s="1745"/>
      <c r="T43" s="1745"/>
      <c r="U43" s="1745"/>
      <c r="V43" s="1745"/>
      <c r="W43" s="1745"/>
      <c r="Y43" s="1386" t="s">
        <v>837</v>
      </c>
      <c r="Z43" s="1746" t="s">
        <v>838</v>
      </c>
      <c r="AA43" s="1746"/>
      <c r="AB43" s="1746"/>
      <c r="AC43" s="1746"/>
    </row>
    <row r="44" spans="2:29">
      <c r="N44" s="1386" t="s">
        <v>845</v>
      </c>
      <c r="O44" s="1745" t="s">
        <v>846</v>
      </c>
      <c r="P44" s="1745"/>
      <c r="Q44" s="1745"/>
      <c r="R44" s="1745"/>
      <c r="S44" s="1745"/>
      <c r="T44" s="1745"/>
      <c r="U44" s="1745"/>
      <c r="V44" s="1745"/>
      <c r="W44" s="1745"/>
      <c r="Y44" s="1386" t="s">
        <v>841</v>
      </c>
      <c r="Z44" s="1746" t="s">
        <v>842</v>
      </c>
      <c r="AA44" s="1746"/>
      <c r="AB44" s="1746"/>
      <c r="AC44" s="1746"/>
    </row>
    <row r="45" spans="2:29">
      <c r="N45" s="1386" t="s">
        <v>847</v>
      </c>
      <c r="O45" s="1745" t="s">
        <v>848</v>
      </c>
      <c r="P45" s="1745"/>
      <c r="Q45" s="1745"/>
      <c r="R45" s="1745"/>
      <c r="S45" s="1745"/>
      <c r="T45" s="1745"/>
      <c r="U45" s="1745"/>
      <c r="V45" s="1745"/>
      <c r="W45" s="1745"/>
      <c r="Y45" s="1386" t="s">
        <v>850</v>
      </c>
      <c r="Z45" s="1746" t="s">
        <v>851</v>
      </c>
      <c r="AA45" s="1746"/>
      <c r="AB45" s="1746"/>
      <c r="AC45" s="1746"/>
    </row>
    <row r="46" spans="2:29">
      <c r="N46" s="1386" t="s">
        <v>839</v>
      </c>
      <c r="O46" s="1745" t="s">
        <v>849</v>
      </c>
      <c r="P46" s="1745"/>
      <c r="Q46" s="1745"/>
      <c r="R46" s="1745"/>
      <c r="S46" s="1745"/>
      <c r="T46" s="1745"/>
      <c r="U46" s="1745"/>
      <c r="V46" s="1745"/>
      <c r="W46" s="1745"/>
      <c r="Y46" s="1386" t="s">
        <v>853</v>
      </c>
      <c r="Z46" s="1746" t="s">
        <v>854</v>
      </c>
      <c r="AA46" s="1746"/>
      <c r="AB46" s="1746"/>
      <c r="AC46" s="1746"/>
    </row>
    <row r="47" spans="2:29">
      <c r="N47" s="1386" t="s">
        <v>843</v>
      </c>
      <c r="O47" s="1745" t="s">
        <v>852</v>
      </c>
      <c r="P47" s="1745"/>
      <c r="Q47" s="1745"/>
      <c r="R47" s="1745"/>
      <c r="S47" s="1745"/>
      <c r="T47" s="1745"/>
      <c r="U47" s="1745"/>
      <c r="V47" s="1745"/>
      <c r="W47" s="1745"/>
      <c r="Y47" s="1387" t="s">
        <v>856</v>
      </c>
      <c r="Z47" s="1747" t="s">
        <v>857</v>
      </c>
      <c r="AA47" s="1747"/>
      <c r="AB47" s="1747"/>
      <c r="AC47" s="1747"/>
    </row>
    <row r="48" spans="2:29">
      <c r="N48" s="1386" t="s">
        <v>850</v>
      </c>
      <c r="O48" s="1745" t="s">
        <v>855</v>
      </c>
      <c r="P48" s="1745"/>
      <c r="Q48" s="1745"/>
      <c r="R48" s="1745"/>
      <c r="S48" s="1745"/>
      <c r="T48" s="1745"/>
      <c r="U48" s="1745"/>
      <c r="V48" s="1745"/>
      <c r="W48" s="1745"/>
      <c r="Y48" s="1386" t="s">
        <v>845</v>
      </c>
      <c r="Z48" s="1746" t="s">
        <v>846</v>
      </c>
      <c r="AA48" s="1746"/>
      <c r="AB48" s="1746"/>
      <c r="AC48" s="1746"/>
    </row>
    <row r="49" spans="14:29">
      <c r="N49" s="1386" t="s">
        <v>858</v>
      </c>
      <c r="O49" s="1745" t="s">
        <v>859</v>
      </c>
      <c r="P49" s="1745"/>
      <c r="Q49" s="1745"/>
      <c r="R49" s="1745"/>
      <c r="S49" s="1745"/>
      <c r="T49" s="1745"/>
      <c r="U49" s="1745"/>
      <c r="V49" s="1745"/>
      <c r="W49" s="1745"/>
      <c r="Y49" s="1388" t="s">
        <v>847</v>
      </c>
      <c r="Z49" s="1749" t="s">
        <v>848</v>
      </c>
      <c r="AA49" s="1749"/>
      <c r="AB49" s="1749"/>
      <c r="AC49" s="1749"/>
    </row>
    <row r="50" spans="14:29">
      <c r="N50" s="1386" t="s">
        <v>853</v>
      </c>
      <c r="O50" s="1745" t="s">
        <v>860</v>
      </c>
      <c r="P50" s="1745"/>
      <c r="Q50" s="1745"/>
      <c r="R50" s="1745"/>
      <c r="S50" s="1745"/>
      <c r="T50" s="1745"/>
      <c r="U50" s="1745"/>
      <c r="V50" s="1745"/>
      <c r="W50" s="1745"/>
    </row>
    <row r="51" spans="14:29">
      <c r="N51" s="1388" t="s">
        <v>856</v>
      </c>
      <c r="O51" s="1748" t="s">
        <v>861</v>
      </c>
      <c r="P51" s="1748"/>
      <c r="Q51" s="1748"/>
      <c r="R51" s="1748"/>
      <c r="S51" s="1748"/>
      <c r="T51" s="1748"/>
      <c r="U51" s="1748"/>
      <c r="V51" s="1748"/>
      <c r="W51" s="1748"/>
    </row>
  </sheetData>
  <sheetProtection algorithmName="SHA-512" hashValue="T+7TXWdzyr6w+oudg7OClmuREvhKiGiHxPw+EzXorpDkUubOeB/k1CHW9z8FTnTEJpyFpKw0Ltwh8/J2Z5xMfw==" saltValue="xXJuDJsFyIIHrsoKvP0dT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oQFujfQQSbxlzSvRaHBvaqHJF/aXovXj1NdOvAErucqRjrebtxy+HM68cqtRuaqNzjXEJZNHpdzZFYHEtmziBw==" saltValue="OTj+bt7dw97Nn6m09x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636</v>
      </c>
      <c r="DM5" s="1848" t="s">
        <v>701</v>
      </c>
      <c r="DN5" s="1848" t="s">
        <v>702</v>
      </c>
      <c r="DO5" s="1848" t="s">
        <v>703</v>
      </c>
      <c r="DP5" s="1848" t="s">
        <v>704</v>
      </c>
      <c r="DQ5" s="1848" t="s">
        <v>705</v>
      </c>
      <c r="DR5" s="1848" t="s">
        <v>706</v>
      </c>
      <c r="DS5" s="1848" t="s">
        <v>707</v>
      </c>
      <c r="DT5" s="1848" t="s">
        <v>708</v>
      </c>
      <c r="DU5" s="1849" t="s">
        <v>709</v>
      </c>
      <c r="DV5" s="1861" t="s">
        <v>710</v>
      </c>
      <c r="DW5" s="1858" t="s">
        <v>711</v>
      </c>
      <c r="DX5" s="1848" t="s">
        <v>712</v>
      </c>
      <c r="DY5" s="1855" t="s">
        <v>713</v>
      </c>
      <c r="DZ5" s="1858" t="s">
        <v>714</v>
      </c>
      <c r="EA5" s="1855" t="s">
        <v>715</v>
      </c>
      <c r="EB5" s="1852" t="s">
        <v>775</v>
      </c>
      <c r="EC5" s="1852" t="s">
        <v>776</v>
      </c>
      <c r="ED5" s="1852" t="s">
        <v>777</v>
      </c>
      <c r="EE5" s="1852" t="s">
        <v>817</v>
      </c>
      <c r="EF5" s="1852" t="s">
        <v>821</v>
      </c>
      <c r="EG5" s="1855" t="s">
        <v>819</v>
      </c>
      <c r="EH5" s="1855" t="s">
        <v>820</v>
      </c>
      <c r="EI5" s="1855" t="s">
        <v>779</v>
      </c>
      <c r="EJ5" s="1855" t="s">
        <v>780</v>
      </c>
      <c r="EK5" s="1867" t="s">
        <v>868</v>
      </c>
      <c r="EL5" s="1870" t="s">
        <v>886</v>
      </c>
      <c r="EM5" s="1871"/>
      <c r="EN5" s="1872"/>
      <c r="EO5" s="1768" t="s">
        <v>986</v>
      </c>
      <c r="EP5" s="1768" t="s">
        <v>988</v>
      </c>
      <c r="EQ5" s="1768" t="s">
        <v>989</v>
      </c>
      <c r="ER5" s="1768" t="s">
        <v>994</v>
      </c>
      <c r="ES5" s="1768" t="s">
        <v>1004</v>
      </c>
      <c r="ET5" s="1864" t="s">
        <v>1081</v>
      </c>
      <c r="EU5" s="1864" t="s">
        <v>1082</v>
      </c>
      <c r="EV5" s="1765" t="s">
        <v>1103</v>
      </c>
      <c r="EW5" s="1765" t="s">
        <v>1109</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985</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887</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2" t="s">
        <v>993</v>
      </c>
      <c r="ER8" s="532">
        <v>148</v>
      </c>
      <c r="ES8" s="532" t="s">
        <v>1005</v>
      </c>
      <c r="ET8" s="1519" t="s">
        <v>1083</v>
      </c>
      <c r="EU8" s="1519" t="s">
        <v>1084</v>
      </c>
      <c r="EV8" s="165" t="s">
        <v>1092</v>
      </c>
      <c r="EW8" s="165">
        <v>153</v>
      </c>
      <c r="EX8" s="532" t="s">
        <v>1137</v>
      </c>
      <c r="EY8" s="532" t="s">
        <v>1150</v>
      </c>
    </row>
    <row r="9" spans="1:155" ht="14.25" customHeight="1">
      <c r="A9" s="20" t="s">
        <v>72</v>
      </c>
      <c r="B9" s="21" t="s">
        <v>515</v>
      </c>
      <c r="C9" s="22" t="s">
        <v>8</v>
      </c>
      <c r="D9" s="23" t="s">
        <v>25</v>
      </c>
      <c r="E9" s="21" t="s">
        <v>26</v>
      </c>
      <c r="F9" s="21">
        <v>32</v>
      </c>
      <c r="G9" s="6"/>
      <c r="H9" s="146" t="s">
        <v>316</v>
      </c>
      <c r="I9" s="193">
        <v>12459</v>
      </c>
      <c r="J9" s="194">
        <v>4277</v>
      </c>
      <c r="K9" s="194">
        <v>2151</v>
      </c>
      <c r="L9" s="194">
        <v>14585</v>
      </c>
      <c r="M9" s="194">
        <v>657</v>
      </c>
      <c r="N9" s="194">
        <v>1168</v>
      </c>
      <c r="O9" s="194">
        <v>806</v>
      </c>
      <c r="P9" s="194">
        <v>568</v>
      </c>
      <c r="Q9" s="194">
        <v>247</v>
      </c>
      <c r="R9" s="194">
        <v>9346</v>
      </c>
      <c r="S9" s="194">
        <v>7510</v>
      </c>
      <c r="T9" s="194">
        <v>3316</v>
      </c>
      <c r="U9" s="194">
        <v>1783</v>
      </c>
      <c r="V9" s="194">
        <v>9015</v>
      </c>
      <c r="W9" s="194">
        <v>386</v>
      </c>
      <c r="X9" s="201">
        <v>1067</v>
      </c>
      <c r="Y9" s="204">
        <v>211</v>
      </c>
      <c r="Z9" s="194">
        <v>299</v>
      </c>
      <c r="AA9" s="194">
        <v>276</v>
      </c>
      <c r="AB9" s="194">
        <v>234</v>
      </c>
      <c r="AC9" s="194">
        <v>0</v>
      </c>
      <c r="AD9" s="194">
        <v>0</v>
      </c>
      <c r="AE9" s="194">
        <v>0</v>
      </c>
      <c r="AF9" s="201">
        <v>0</v>
      </c>
      <c r="AG9" s="204">
        <v>192</v>
      </c>
      <c r="AH9" s="194">
        <v>242</v>
      </c>
      <c r="AI9" s="194">
        <v>259</v>
      </c>
      <c r="AJ9" s="205">
        <v>175</v>
      </c>
      <c r="AK9" s="193">
        <v>0</v>
      </c>
      <c r="AL9" s="194">
        <v>0</v>
      </c>
      <c r="AM9" s="194">
        <v>0</v>
      </c>
      <c r="AN9" s="201">
        <v>0</v>
      </c>
      <c r="AO9" s="282">
        <v>5</v>
      </c>
      <c r="AP9" s="167">
        <v>5</v>
      </c>
      <c r="AQ9" s="167">
        <v>5</v>
      </c>
      <c r="AR9" s="206">
        <v>5</v>
      </c>
      <c r="AS9" s="379" t="s">
        <v>1059</v>
      </c>
      <c r="AT9" s="208"/>
      <c r="AU9" s="207"/>
      <c r="AV9" s="208"/>
      <c r="AW9" s="207"/>
      <c r="AX9" s="208"/>
      <c r="AY9" s="133">
        <f>IF(ISNUMBER(IF(J_V="SI",S9,S9+AG9)),IF(J_V="SI",S9,S9+AG9)," - ")</f>
        <v>7702</v>
      </c>
      <c r="AZ9" s="133">
        <f>IF(ISNUMBER(IF(J_V="SI",T9,T9+AH9)),IF(J_V="SI",T9,T9+AH9)," - ")</f>
        <v>3558</v>
      </c>
      <c r="BA9" s="134">
        <f>IF(ISNUMBER(IF(J_V="SI",U9,U9+AI9)),IF(J_V="SI",U9,U9+AI9)," - ")</f>
        <v>2042</v>
      </c>
      <c r="BB9" s="134">
        <f>IF(ISNUMBER(IF(J_V="SI",V9,V9+AJ9)),IF(J_V="SI",V9,V9+AJ9)," - ")</f>
        <v>9190</v>
      </c>
      <c r="BC9" s="135">
        <f>IF(ISNUMBER(X9),X9," - ")</f>
        <v>1067</v>
      </c>
      <c r="BD9" s="136">
        <f>IF(ISNUMBER(BA9/AZ9),BA9/AZ9," - ")</f>
        <v>0.57391793142214731</v>
      </c>
      <c r="BE9" s="137">
        <f>IF(ISNUMBER(BB9/BA9),BB9/BA9, " - ")</f>
        <v>4.5004897159647408</v>
      </c>
      <c r="BF9" s="137">
        <f>IF(ISNUMBER(BC9/BA9),BC9/BA9, " - ")</f>
        <v>0.52252693437806075</v>
      </c>
      <c r="BG9" s="209">
        <f>IF(ISNUMBER((AY9+AZ9)/BA9),(AY9+AZ9)/BA9," - ")</f>
        <v>5.5142017629774731</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1162</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72</v>
      </c>
      <c r="J10" s="194">
        <v>17</v>
      </c>
      <c r="K10" s="194">
        <v>20</v>
      </c>
      <c r="L10" s="194">
        <v>69</v>
      </c>
      <c r="M10" s="194">
        <v>5</v>
      </c>
      <c r="N10" s="194">
        <v>15</v>
      </c>
      <c r="O10" s="194">
        <v>3</v>
      </c>
      <c r="P10" s="194">
        <v>3</v>
      </c>
      <c r="Q10" s="194">
        <v>3</v>
      </c>
      <c r="R10" s="194">
        <v>52</v>
      </c>
      <c r="S10" s="194">
        <v>57</v>
      </c>
      <c r="T10" s="194">
        <v>21</v>
      </c>
      <c r="U10" s="194">
        <v>28</v>
      </c>
      <c r="V10" s="194">
        <v>50</v>
      </c>
      <c r="W10" s="194">
        <v>8</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1053</v>
      </c>
      <c r="AT10" s="205"/>
      <c r="AU10" s="213"/>
      <c r="AV10" s="205"/>
      <c r="AW10" s="213"/>
      <c r="AX10" s="205"/>
      <c r="AY10" s="138">
        <f t="shared" ref="AY10:BC10" si="0">IF(ISNUMBER(S10),S10," - ")</f>
        <v>57</v>
      </c>
      <c r="AZ10" s="139">
        <f t="shared" si="0"/>
        <v>21</v>
      </c>
      <c r="BA10" s="139">
        <f t="shared" si="0"/>
        <v>28</v>
      </c>
      <c r="BB10" s="139">
        <f t="shared" si="0"/>
        <v>50</v>
      </c>
      <c r="BC10" s="135">
        <f t="shared" si="0"/>
        <v>8</v>
      </c>
      <c r="BD10" s="136">
        <f>IF(ISNUMBER(BA10/AZ10),BA10/AZ10," - ")</f>
        <v>1.3333333333333333</v>
      </c>
      <c r="BE10" s="137">
        <f>IF(ISNUMBER(BB10/BA10),BB10/BA10, " - ")</f>
        <v>1.7857142857142858</v>
      </c>
      <c r="BF10" s="137">
        <f>IF(ISNUMBER(BC10/BA10),BC10/BA10, " - ")</f>
        <v>0.2857142857142857</v>
      </c>
      <c r="BG10" s="209">
        <f>IF(ISNUMBER((AY10+AZ10)/BA10),(AY10+AZ10)/BA10," - ")</f>
        <v>2.7857142857142856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1027</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612</v>
      </c>
      <c r="J11" s="196">
        <v>227</v>
      </c>
      <c r="K11" s="196">
        <v>180</v>
      </c>
      <c r="L11" s="196">
        <v>659</v>
      </c>
      <c r="M11" s="196">
        <v>90</v>
      </c>
      <c r="N11" s="196">
        <v>108</v>
      </c>
      <c r="O11" s="194">
        <v>53</v>
      </c>
      <c r="P11" s="196">
        <v>6</v>
      </c>
      <c r="Q11" s="196">
        <v>11</v>
      </c>
      <c r="R11" s="196">
        <v>125</v>
      </c>
      <c r="S11" s="196">
        <v>625</v>
      </c>
      <c r="T11" s="196">
        <v>210</v>
      </c>
      <c r="U11" s="196">
        <v>205</v>
      </c>
      <c r="V11" s="196">
        <v>630</v>
      </c>
      <c r="W11" s="196">
        <v>106</v>
      </c>
      <c r="X11" s="202">
        <v>99</v>
      </c>
      <c r="Y11" s="204">
        <v>57</v>
      </c>
      <c r="Z11" s="194">
        <v>60</v>
      </c>
      <c r="AA11" s="194">
        <v>63</v>
      </c>
      <c r="AB11" s="194">
        <v>54</v>
      </c>
      <c r="AC11" s="196">
        <v>0</v>
      </c>
      <c r="AD11" s="196">
        <v>0</v>
      </c>
      <c r="AE11" s="196">
        <v>0</v>
      </c>
      <c r="AF11" s="202">
        <v>0</v>
      </c>
      <c r="AG11" s="215">
        <v>44</v>
      </c>
      <c r="AH11" s="196">
        <v>51</v>
      </c>
      <c r="AI11" s="196">
        <v>50</v>
      </c>
      <c r="AJ11" s="216">
        <v>45</v>
      </c>
      <c r="AK11" s="195">
        <v>0</v>
      </c>
      <c r="AL11" s="196">
        <v>0</v>
      </c>
      <c r="AM11" s="196">
        <v>0</v>
      </c>
      <c r="AN11" s="202">
        <v>0</v>
      </c>
      <c r="AO11" s="283">
        <v>1</v>
      </c>
      <c r="AP11" s="168">
        <v>1</v>
      </c>
      <c r="AQ11" s="168">
        <v>1</v>
      </c>
      <c r="AR11" s="167">
        <v>1</v>
      </c>
      <c r="AS11" s="381" t="s">
        <v>1060</v>
      </c>
      <c r="AT11" s="216"/>
      <c r="AU11" s="215"/>
      <c r="AV11" s="216"/>
      <c r="AW11" s="215"/>
      <c r="AX11" s="216"/>
      <c r="AY11" s="136">
        <f t="shared" ref="AY11:BB12" si="1">IF(ISNUMBER(IF(J_V="SI",S11,S11+AG11)),IF(J_V="SI",S11,S11+AG11)," - ")</f>
        <v>669</v>
      </c>
      <c r="AZ11" s="137">
        <f t="shared" si="1"/>
        <v>261</v>
      </c>
      <c r="BA11" s="137">
        <f t="shared" si="1"/>
        <v>255</v>
      </c>
      <c r="BB11" s="137">
        <f t="shared" si="1"/>
        <v>675</v>
      </c>
      <c r="BC11" s="135">
        <f>IF(ISNUMBER(X11),X11," - ")</f>
        <v>99</v>
      </c>
      <c r="BD11" s="136">
        <f t="shared" ref="BD11:BD13" si="2">IF(ISNUMBER(BA11/AZ11),BA11/AZ11," - ")</f>
        <v>0.97701149425287359</v>
      </c>
      <c r="BE11" s="137">
        <f t="shared" ref="BE11:BE13" si="3">IF(ISNUMBER(BB11/BA11),BB11/BA11, " - ")</f>
        <v>2.6470588235294117</v>
      </c>
      <c r="BF11" s="137">
        <f t="shared" ref="BF11:BF13" si="4">IF(ISNUMBER(BC11/BA11),BC11/BA11, " - ")</f>
        <v>0.38823529411764707</v>
      </c>
      <c r="BG11" s="209">
        <f t="shared" ref="BG11:BG13" si="5">IF(ISNUMBER((AY11+AZ11)/BA11),(AY11+AZ11)/BA11," - ")</f>
        <v>3.6470588235294117</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1163</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4</v>
      </c>
      <c r="J12" s="196">
        <v>0</v>
      </c>
      <c r="K12" s="196">
        <v>0</v>
      </c>
      <c r="L12" s="196">
        <v>4</v>
      </c>
      <c r="M12" s="196">
        <v>0</v>
      </c>
      <c r="N12" s="196">
        <v>1</v>
      </c>
      <c r="O12" s="194">
        <v>0</v>
      </c>
      <c r="P12" s="196">
        <v>2</v>
      </c>
      <c r="Q12" s="196">
        <v>63</v>
      </c>
      <c r="R12" s="196">
        <v>179</v>
      </c>
      <c r="S12" s="196">
        <v>13</v>
      </c>
      <c r="T12" s="196">
        <v>0</v>
      </c>
      <c r="U12" s="196">
        <v>4</v>
      </c>
      <c r="V12" s="196">
        <v>9</v>
      </c>
      <c r="W12" s="196">
        <v>0</v>
      </c>
      <c r="X12" s="202">
        <v>6</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1061</v>
      </c>
      <c r="AT12" s="216"/>
      <c r="AU12" s="215"/>
      <c r="AV12" s="216"/>
      <c r="AW12" s="215"/>
      <c r="AX12" s="216"/>
      <c r="AY12" s="136">
        <f t="shared" si="1"/>
        <v>13</v>
      </c>
      <c r="AZ12" s="137">
        <f t="shared" si="1"/>
        <v>0</v>
      </c>
      <c r="BA12" s="137">
        <f t="shared" si="1"/>
        <v>4</v>
      </c>
      <c r="BB12" s="137">
        <f t="shared" si="1"/>
        <v>9</v>
      </c>
      <c r="BC12" s="135">
        <f>IF(ISNUMBER(X12),X12," - ")</f>
        <v>6</v>
      </c>
      <c r="BD12" s="136" t="str">
        <f t="shared" si="2"/>
        <v xml:space="preserve"> - </v>
      </c>
      <c r="BE12" s="137">
        <f t="shared" si="3"/>
        <v>2.25</v>
      </c>
      <c r="BF12" s="137">
        <f t="shared" si="4"/>
        <v>1.5</v>
      </c>
      <c r="BG12" s="209">
        <f t="shared" si="5"/>
        <v>3.25</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1164</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657</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13147</v>
      </c>
      <c r="J14" s="197">
        <f t="shared" si="7"/>
        <v>4521</v>
      </c>
      <c r="K14" s="197">
        <f t="shared" si="7"/>
        <v>2351</v>
      </c>
      <c r="L14" s="197">
        <f t="shared" si="7"/>
        <v>15317</v>
      </c>
      <c r="M14" s="197">
        <f t="shared" si="7"/>
        <v>752</v>
      </c>
      <c r="N14" s="197">
        <f t="shared" si="7"/>
        <v>1292</v>
      </c>
      <c r="O14" s="197">
        <f t="shared" si="7"/>
        <v>862</v>
      </c>
      <c r="P14" s="197">
        <f t="shared" si="7"/>
        <v>579</v>
      </c>
      <c r="Q14" s="197">
        <f t="shared" si="7"/>
        <v>324</v>
      </c>
      <c r="R14" s="197">
        <f t="shared" si="7"/>
        <v>9702</v>
      </c>
      <c r="S14" s="197">
        <f t="shared" si="7"/>
        <v>8205</v>
      </c>
      <c r="T14" s="197">
        <f t="shared" si="7"/>
        <v>3547</v>
      </c>
      <c r="U14" s="197">
        <f t="shared" si="7"/>
        <v>2020</v>
      </c>
      <c r="V14" s="197">
        <f t="shared" si="7"/>
        <v>9704</v>
      </c>
      <c r="W14" s="197">
        <f t="shared" si="7"/>
        <v>500</v>
      </c>
      <c r="X14" s="197">
        <f t="shared" si="7"/>
        <v>1188</v>
      </c>
      <c r="Y14" s="197">
        <f t="shared" si="7"/>
        <v>268</v>
      </c>
      <c r="Z14" s="197">
        <f t="shared" si="7"/>
        <v>359</v>
      </c>
      <c r="AA14" s="197">
        <f t="shared" si="7"/>
        <v>339</v>
      </c>
      <c r="AB14" s="197">
        <f t="shared" si="7"/>
        <v>288</v>
      </c>
      <c r="AC14" s="197">
        <f t="shared" si="7"/>
        <v>0</v>
      </c>
      <c r="AD14" s="197">
        <f t="shared" si="7"/>
        <v>0</v>
      </c>
      <c r="AE14" s="197">
        <f t="shared" si="7"/>
        <v>0</v>
      </c>
      <c r="AF14" s="197">
        <f>SUBTOTAL(9,AF9:AF13)</f>
        <v>0</v>
      </c>
      <c r="AG14" s="197">
        <f t="shared" ref="AG14:AT14" si="8">SUBTOTAL(9,AG8:AG13)</f>
        <v>236</v>
      </c>
      <c r="AH14" s="197">
        <f t="shared" si="8"/>
        <v>293</v>
      </c>
      <c r="AI14" s="197">
        <f t="shared" si="8"/>
        <v>309</v>
      </c>
      <c r="AJ14" s="197">
        <f t="shared" si="8"/>
        <v>220</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8441</v>
      </c>
      <c r="AZ14" s="197">
        <f>SUBTOTAL(9,AZ8:AZ13)</f>
        <v>3840</v>
      </c>
      <c r="BA14" s="197">
        <f>SUBTOTAL(9,BA8:BA13)</f>
        <v>2329</v>
      </c>
      <c r="BB14" s="197">
        <f>SUBTOTAL(9,BB8:BB13)</f>
        <v>9924</v>
      </c>
      <c r="BC14" s="197">
        <f>SUBTOTAL(9,BC8:BC13)</f>
        <v>1180</v>
      </c>
      <c r="BD14" s="219">
        <f>IF(ISNUMBER(BA14/AZ14),BA14/AZ14," - ")</f>
        <v>0.60651041666666672</v>
      </c>
      <c r="BE14" s="220">
        <f>IF(ISNUMBER(BB14/BA14),BB14/BA14, " - ")</f>
        <v>4.2610562473164446</v>
      </c>
      <c r="BF14" s="220">
        <f>IF(ISNUMBER(BC14/BA14),BC14/BA14, " - ")</f>
        <v>0.50665521683125803</v>
      </c>
      <c r="BG14" s="221">
        <f>IF(ISNUMBER((AY14+AZ14)/BA14),(AY14+AZ14)/BA14," - ")</f>
        <v>5.273078574495492</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1721</v>
      </c>
      <c r="J16" s="196">
        <v>2729</v>
      </c>
      <c r="K16" s="196">
        <v>2601</v>
      </c>
      <c r="L16" s="196">
        <v>1878</v>
      </c>
      <c r="M16" s="196">
        <v>260</v>
      </c>
      <c r="N16" s="196">
        <v>1541</v>
      </c>
      <c r="O16" s="194">
        <v>37</v>
      </c>
      <c r="P16" s="196">
        <v>114</v>
      </c>
      <c r="Q16" s="196">
        <v>154</v>
      </c>
      <c r="R16" s="196">
        <v>388</v>
      </c>
      <c r="S16" s="196">
        <v>1526</v>
      </c>
      <c r="T16" s="196">
        <v>2468</v>
      </c>
      <c r="U16" s="196">
        <v>2490</v>
      </c>
      <c r="V16" s="196">
        <v>1574</v>
      </c>
      <c r="W16" s="196">
        <v>281</v>
      </c>
      <c r="X16" s="202">
        <v>1478</v>
      </c>
      <c r="Y16" s="215">
        <v>0</v>
      </c>
      <c r="Z16" s="196">
        <v>0</v>
      </c>
      <c r="AA16" s="196">
        <v>0</v>
      </c>
      <c r="AB16" s="196">
        <v>0</v>
      </c>
      <c r="AC16" s="196">
        <v>0</v>
      </c>
      <c r="AD16" s="196">
        <v>2</v>
      </c>
      <c r="AE16" s="196">
        <v>2</v>
      </c>
      <c r="AF16" s="202">
        <v>0</v>
      </c>
      <c r="AG16" s="215">
        <v>0</v>
      </c>
      <c r="AH16" s="196">
        <v>0</v>
      </c>
      <c r="AI16" s="196">
        <v>0</v>
      </c>
      <c r="AJ16" s="216">
        <v>0</v>
      </c>
      <c r="AK16" s="195">
        <v>0</v>
      </c>
      <c r="AL16" s="196">
        <v>17</v>
      </c>
      <c r="AM16" s="196">
        <v>17</v>
      </c>
      <c r="AN16" s="202">
        <v>0</v>
      </c>
      <c r="AO16" s="283">
        <v>4</v>
      </c>
      <c r="AP16" s="168">
        <v>4</v>
      </c>
      <c r="AQ16" s="168">
        <v>4</v>
      </c>
      <c r="AR16" s="168">
        <v>4</v>
      </c>
      <c r="AS16" s="381" t="s">
        <v>689</v>
      </c>
      <c r="AT16" s="216" t="s">
        <v>420</v>
      </c>
      <c r="AU16" s="215"/>
      <c r="AV16" s="216"/>
      <c r="AW16" s="215"/>
      <c r="AX16" s="216"/>
      <c r="AY16" s="138">
        <f t="shared" ref="AY16:BB17" si="10">IF(ISNUMBER(IF(D_I="SI",S16,S16+AK16)),IF(D_I="SI",S16,S16+AK16)," - ")</f>
        <v>1526</v>
      </c>
      <c r="AZ16" s="139">
        <f t="shared" si="10"/>
        <v>2468</v>
      </c>
      <c r="BA16" s="139">
        <f t="shared" si="10"/>
        <v>2490</v>
      </c>
      <c r="BB16" s="139">
        <f t="shared" si="10"/>
        <v>1574</v>
      </c>
      <c r="BC16" s="135">
        <f>IF(ISNUMBER(W16),W16," - ")</f>
        <v>281</v>
      </c>
      <c r="BD16" s="136">
        <f>IF(ISNUMBER(BA16/AZ16),BA16/AZ16," - ")</f>
        <v>1.0089141004862237</v>
      </c>
      <c r="BE16" s="137">
        <f>IF(ISNUMBER(BB16/BA16),BB16/BA16, " - ")</f>
        <v>0.63212851405622494</v>
      </c>
      <c r="BF16" s="137">
        <f>IF(ISNUMBER(BC16/BA16),BC16/BA16, " - ")</f>
        <v>0.11285140562248996</v>
      </c>
      <c r="BG16" s="209">
        <f t="shared" ref="BG16:BG22" si="11">IF(ISNUMBER((AY16+AZ16)/BA16),(AY16+AZ16)/BA16," - ")</f>
        <v>1.604016064257028</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1062</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v>1</v>
      </c>
      <c r="J17" s="196">
        <v>0</v>
      </c>
      <c r="K17" s="196">
        <v>0</v>
      </c>
      <c r="L17" s="196">
        <v>1</v>
      </c>
      <c r="M17" s="196">
        <v>0</v>
      </c>
      <c r="N17" s="196">
        <v>0</v>
      </c>
      <c r="O17" s="194">
        <v>0</v>
      </c>
      <c r="P17" s="196">
        <v>0</v>
      </c>
      <c r="Q17" s="196">
        <v>0</v>
      </c>
      <c r="R17" s="196">
        <v>1</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640</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1033</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152</v>
      </c>
      <c r="J18" s="196">
        <v>269</v>
      </c>
      <c r="K18" s="196">
        <v>215</v>
      </c>
      <c r="L18" s="196">
        <v>208</v>
      </c>
      <c r="M18" s="196">
        <v>16</v>
      </c>
      <c r="N18" s="196">
        <v>128</v>
      </c>
      <c r="O18" s="196">
        <v>0</v>
      </c>
      <c r="P18" s="196">
        <v>1</v>
      </c>
      <c r="Q18" s="196">
        <v>1</v>
      </c>
      <c r="R18" s="196">
        <v>1</v>
      </c>
      <c r="S18" s="196">
        <v>166</v>
      </c>
      <c r="T18" s="196">
        <v>266</v>
      </c>
      <c r="U18" s="196">
        <v>233</v>
      </c>
      <c r="V18" s="196">
        <v>201</v>
      </c>
      <c r="W18" s="196">
        <v>5</v>
      </c>
      <c r="X18" s="202">
        <v>140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1052</v>
      </c>
      <c r="AT18" s="223"/>
      <c r="AU18" s="213"/>
      <c r="AV18" s="223"/>
      <c r="AW18" s="213"/>
      <c r="AX18" s="223"/>
      <c r="AY18" s="138">
        <f t="shared" ref="AY18:BB19" si="15">IF(ISNUMBER(S18),S18," - ")</f>
        <v>166</v>
      </c>
      <c r="AZ18" s="139">
        <f t="shared" si="15"/>
        <v>266</v>
      </c>
      <c r="BA18" s="139">
        <f t="shared" si="15"/>
        <v>233</v>
      </c>
      <c r="BB18" s="139">
        <f t="shared" si="15"/>
        <v>201</v>
      </c>
      <c r="BC18" s="135">
        <f>IF(ISNUMBER(W18),W18," - ")</f>
        <v>5</v>
      </c>
      <c r="BD18" s="136">
        <f>IF(ISNUMBER(BA18/AZ18),BA18/AZ18," - ")</f>
        <v>0.87593984962406013</v>
      </c>
      <c r="BE18" s="137">
        <f>IF(ISNUMBER(BB18/BA18),BB18/BA18, " - ")</f>
        <v>0.86266094420600858</v>
      </c>
      <c r="BF18" s="137">
        <f>IF(ISNUMBER(BC18/BA18),BC18/BA18, " - ")</f>
        <v>2.1459227467811159E-2</v>
      </c>
      <c r="BG18" s="209">
        <f>IF(ISNUMBER((AY18+AZ18)/BA18),(AY18+AZ18)/BA18," - ")</f>
        <v>1.8540772532188841</v>
      </c>
      <c r="BH18" s="168">
        <v>1</v>
      </c>
      <c r="BI18" s="168"/>
      <c r="BJ18" s="213"/>
      <c r="BK18" s="167"/>
      <c r="BL18" s="167"/>
      <c r="BM18" s="167">
        <v>1800</v>
      </c>
      <c r="BN18" s="167"/>
      <c r="BO18" s="167"/>
      <c r="BP18" s="167"/>
      <c r="BQ18" s="167"/>
      <c r="BR18" s="167"/>
      <c r="BS18" s="167"/>
      <c r="BT18" s="167"/>
      <c r="BU18" s="167"/>
      <c r="BV18" s="167"/>
      <c r="BW18" s="167"/>
      <c r="BX18" s="167"/>
      <c r="BY18" s="187" t="s">
        <v>929</v>
      </c>
      <c r="BZ18" s="187" t="s">
        <v>930</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1034</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1006</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661</v>
      </c>
      <c r="J21" s="196" t="s">
        <v>662</v>
      </c>
      <c r="K21" s="196" t="s">
        <v>663</v>
      </c>
      <c r="L21" s="196" t="s">
        <v>660</v>
      </c>
      <c r="M21" s="196" t="s">
        <v>664</v>
      </c>
      <c r="N21" s="196" t="s">
        <v>696</v>
      </c>
      <c r="O21" s="196" t="s">
        <v>291</v>
      </c>
      <c r="P21" s="196" t="s">
        <v>207</v>
      </c>
      <c r="Q21" s="196" t="s">
        <v>658</v>
      </c>
      <c r="R21" s="196" t="s">
        <v>659</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1018</v>
      </c>
      <c r="EP21" s="381"/>
      <c r="EQ21" s="381"/>
      <c r="ER21" s="1341" t="s">
        <v>1001</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1009</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1874</v>
      </c>
      <c r="J23" s="197">
        <f t="shared" si="21"/>
        <v>2998</v>
      </c>
      <c r="K23" s="197">
        <f t="shared" si="21"/>
        <v>2816</v>
      </c>
      <c r="L23" s="197">
        <f t="shared" si="21"/>
        <v>2087</v>
      </c>
      <c r="M23" s="197">
        <f t="shared" si="21"/>
        <v>276</v>
      </c>
      <c r="N23" s="197">
        <f t="shared" si="21"/>
        <v>1669</v>
      </c>
      <c r="O23" s="197">
        <f t="shared" si="21"/>
        <v>37</v>
      </c>
      <c r="P23" s="197">
        <f t="shared" si="21"/>
        <v>115</v>
      </c>
      <c r="Q23" s="197">
        <f t="shared" si="21"/>
        <v>155</v>
      </c>
      <c r="R23" s="197">
        <f t="shared" si="21"/>
        <v>390</v>
      </c>
      <c r="S23" s="197">
        <f t="shared" si="21"/>
        <v>1693</v>
      </c>
      <c r="T23" s="197">
        <f t="shared" si="21"/>
        <v>2734</v>
      </c>
      <c r="U23" s="197">
        <f t="shared" si="21"/>
        <v>2723</v>
      </c>
      <c r="V23" s="197">
        <f t="shared" si="21"/>
        <v>1776</v>
      </c>
      <c r="W23" s="197">
        <f t="shared" si="21"/>
        <v>286</v>
      </c>
      <c r="X23" s="197">
        <f t="shared" si="21"/>
        <v>1618</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17</v>
      </c>
      <c r="AM23" s="197">
        <f t="shared" si="21"/>
        <v>17</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1693</v>
      </c>
      <c r="AZ23" s="197">
        <f>SUBTOTAL(9,AZ15:AZ22)</f>
        <v>2734</v>
      </c>
      <c r="BA23" s="197">
        <f>SUBTOTAL(9,BA15:BA22)</f>
        <v>2723</v>
      </c>
      <c r="BB23" s="197">
        <f>SUBTOTAL(9,BB15:BB22)</f>
        <v>1776</v>
      </c>
      <c r="BC23" s="197">
        <f>SUBTOTAL(9,BC15:BC22)</f>
        <v>286</v>
      </c>
      <c r="BD23" s="219">
        <f>IF(ISNUMBER(BA23/AZ23),BA23/AZ23," - ")</f>
        <v>0.99597659107534753</v>
      </c>
      <c r="BE23" s="220">
        <f>IF(ISNUMBER(BB23/BA23),BB23/BA23, " - ")</f>
        <v>0.6522218141755417</v>
      </c>
      <c r="BF23" s="220">
        <f>IF(ISNUMBER(BC23/BA23),BC23/BA23, " - ")</f>
        <v>0.10503121557106133</v>
      </c>
      <c r="BG23" s="221">
        <f>IF(ISNUMBER((AY23+AZ23)/BA23),(AY23+AZ23)/BA23," - ")</f>
        <v>1.6257803892765332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694</v>
      </c>
      <c r="O28" s="196" t="s">
        <v>293</v>
      </c>
      <c r="P28" s="196" t="s">
        <v>1120</v>
      </c>
      <c r="Q28" s="196" t="s">
        <v>1121</v>
      </c>
      <c r="R28" s="196" t="s">
        <v>1122</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997</v>
      </c>
      <c r="EP28" s="1336"/>
      <c r="EQ28" s="1336"/>
      <c r="ER28" s="1341" t="s">
        <v>1000</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695</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1021</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15021</v>
      </c>
      <c r="J31" s="144">
        <f t="shared" si="36"/>
        <v>7519</v>
      </c>
      <c r="K31" s="144">
        <f t="shared" si="36"/>
        <v>5167</v>
      </c>
      <c r="L31" s="144">
        <f t="shared" si="36"/>
        <v>17404</v>
      </c>
      <c r="M31" s="144">
        <f t="shared" si="36"/>
        <v>1028</v>
      </c>
      <c r="N31" s="144">
        <f t="shared" si="36"/>
        <v>2961</v>
      </c>
      <c r="O31" s="144">
        <f t="shared" si="36"/>
        <v>899</v>
      </c>
      <c r="P31" s="144">
        <f t="shared" si="36"/>
        <v>694</v>
      </c>
      <c r="Q31" s="144">
        <f t="shared" si="36"/>
        <v>479</v>
      </c>
      <c r="R31" s="144">
        <f t="shared" si="36"/>
        <v>10092</v>
      </c>
      <c r="S31" s="144">
        <f t="shared" si="36"/>
        <v>9898</v>
      </c>
      <c r="T31" s="144">
        <f t="shared" si="36"/>
        <v>6281</v>
      </c>
      <c r="U31" s="144">
        <f t="shared" si="36"/>
        <v>4743</v>
      </c>
      <c r="V31" s="144">
        <f t="shared" si="36"/>
        <v>11480</v>
      </c>
      <c r="W31" s="144">
        <f t="shared" si="36"/>
        <v>786</v>
      </c>
      <c r="X31" s="144">
        <f t="shared" si="36"/>
        <v>2806</v>
      </c>
      <c r="Y31" s="144">
        <f t="shared" si="36"/>
        <v>268</v>
      </c>
      <c r="Z31" s="144">
        <f t="shared" si="36"/>
        <v>359</v>
      </c>
      <c r="AA31" s="144">
        <f t="shared" si="36"/>
        <v>339</v>
      </c>
      <c r="AB31" s="144">
        <f t="shared" si="36"/>
        <v>288</v>
      </c>
      <c r="AC31" s="144">
        <f t="shared" si="36"/>
        <v>0</v>
      </c>
      <c r="AD31" s="144">
        <f t="shared" si="36"/>
        <v>2</v>
      </c>
      <c r="AE31" s="144">
        <f t="shared" si="36"/>
        <v>2</v>
      </c>
      <c r="AF31" s="144">
        <f t="shared" si="36"/>
        <v>0</v>
      </c>
      <c r="AG31" s="144">
        <f t="shared" si="36"/>
        <v>236</v>
      </c>
      <c r="AH31" s="144">
        <f t="shared" si="36"/>
        <v>293</v>
      </c>
      <c r="AI31" s="144">
        <f t="shared" si="36"/>
        <v>309</v>
      </c>
      <c r="AJ31" s="144">
        <f t="shared" si="36"/>
        <v>220</v>
      </c>
      <c r="AK31" s="144">
        <f t="shared" si="36"/>
        <v>0</v>
      </c>
      <c r="AL31" s="144">
        <f t="shared" si="36"/>
        <v>17</v>
      </c>
      <c r="AM31" s="144">
        <f t="shared" si="36"/>
        <v>17</v>
      </c>
      <c r="AN31" s="224">
        <f t="shared" si="36"/>
        <v>0</v>
      </c>
      <c r="AO31" s="225">
        <v>11</v>
      </c>
      <c r="AP31" s="225">
        <v>11</v>
      </c>
      <c r="AQ31" s="225">
        <v>11</v>
      </c>
      <c r="AR31" s="225">
        <v>11</v>
      </c>
      <c r="AS31" s="166">
        <f t="shared" si="36"/>
        <v>0</v>
      </c>
      <c r="AT31" s="166">
        <f t="shared" si="36"/>
        <v>0</v>
      </c>
      <c r="AU31" s="225"/>
      <c r="AV31" s="226"/>
      <c r="AW31" s="225"/>
      <c r="AX31" s="226"/>
      <c r="AY31" s="143">
        <f>SUBTOTAL(9,AY9:AY30)</f>
        <v>10134</v>
      </c>
      <c r="AZ31" s="144">
        <f>SUBTOTAL(9,AZ9:AZ30)</f>
        <v>6574</v>
      </c>
      <c r="BA31" s="144">
        <f>SUBTOTAL(9,BA9:BA30)</f>
        <v>5052</v>
      </c>
      <c r="BB31" s="144">
        <f>SUBTOTAL(9,BB9:BB30)</f>
        <v>11700</v>
      </c>
      <c r="BC31" s="145">
        <f>SUBTOTAL(9,BC9:BC30)</f>
        <v>1466</v>
      </c>
      <c r="BD31" s="227">
        <f>IF(ISNUMBER(BA31/AZ31),BA31/AZ31," - ")</f>
        <v>0.76848189838758751</v>
      </c>
      <c r="BE31" s="224">
        <f>IF(ISNUMBER(BB31/BA31),BB31/BA31, " - ")</f>
        <v>2.3159144893111638</v>
      </c>
      <c r="BF31" s="224">
        <f>IF(ISNUMBER(BC31/BA31),BC31/BA31, " - ")</f>
        <v>0.29018210609659539</v>
      </c>
      <c r="BG31" s="145">
        <f>IF(ISNUMBER((AY31+AZ31)/BA31),(AY31+AZ31)/BA31," - ")</f>
        <v>3.307205067300079</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ttsO+UAXibxoOSKSpfAGlTArrX10c3tRZ3RZyxuYQKdodxqc1m2wbhn8yHslwtH2b3PRfSev8T8tB/9hS6UoA==" saltValue="qHvhdg53ZwF0T5ovGisE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635</v>
      </c>
      <c r="DM5" s="1848" t="s">
        <v>701</v>
      </c>
      <c r="DN5" s="1848" t="s">
        <v>702</v>
      </c>
      <c r="DO5" s="1848" t="s">
        <v>703</v>
      </c>
      <c r="DP5" s="1848" t="s">
        <v>704</v>
      </c>
      <c r="DQ5" s="1848" t="s">
        <v>705</v>
      </c>
      <c r="DR5" s="1848" t="s">
        <v>706</v>
      </c>
      <c r="DS5" s="1848" t="s">
        <v>707</v>
      </c>
      <c r="DT5" s="1848" t="s">
        <v>708</v>
      </c>
      <c r="DU5" s="1861" t="s">
        <v>709</v>
      </c>
      <c r="DV5" s="1861" t="s">
        <v>710</v>
      </c>
      <c r="DW5" s="1858" t="s">
        <v>711</v>
      </c>
      <c r="DX5" s="1848" t="s">
        <v>712</v>
      </c>
      <c r="DY5" s="1855" t="s">
        <v>713</v>
      </c>
      <c r="DZ5" s="1858" t="s">
        <v>714</v>
      </c>
      <c r="EA5" s="1855" t="s">
        <v>715</v>
      </c>
      <c r="EB5" s="1852" t="s">
        <v>775</v>
      </c>
      <c r="EC5" s="1852" t="s">
        <v>812</v>
      </c>
      <c r="ED5" s="1852" t="s">
        <v>777</v>
      </c>
      <c r="EE5" s="1852" t="s">
        <v>817</v>
      </c>
      <c r="EF5" s="1852" t="s">
        <v>818</v>
      </c>
      <c r="EG5" s="1855" t="s">
        <v>819</v>
      </c>
      <c r="EH5" s="1855" t="s">
        <v>820</v>
      </c>
      <c r="EI5" s="1855" t="s">
        <v>779</v>
      </c>
      <c r="EJ5" s="1855" t="s">
        <v>780</v>
      </c>
      <c r="EK5" s="1879" t="s">
        <v>868</v>
      </c>
      <c r="EL5" s="1870" t="s">
        <v>886</v>
      </c>
      <c r="EM5" s="1871"/>
      <c r="EN5" s="1872"/>
      <c r="EO5" s="1768" t="s">
        <v>986</v>
      </c>
      <c r="EP5" s="1768" t="s">
        <v>988</v>
      </c>
      <c r="EQ5" s="1768" t="s">
        <v>989</v>
      </c>
      <c r="ER5" s="1768" t="s">
        <v>994</v>
      </c>
      <c r="ES5" s="1768" t="s">
        <v>1004</v>
      </c>
      <c r="ET5" s="1864" t="s">
        <v>1081</v>
      </c>
      <c r="EU5" s="1864" t="s">
        <v>1082</v>
      </c>
      <c r="EV5" s="1771" t="s">
        <v>1103</v>
      </c>
      <c r="EW5" s="1855" t="s">
        <v>1106</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985</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887</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2"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532" t="s">
        <v>888</v>
      </c>
      <c r="EM8" s="532" t="s">
        <v>889</v>
      </c>
      <c r="EN8" s="532" t="s">
        <v>890</v>
      </c>
      <c r="EO8" s="53" t="s">
        <v>987</v>
      </c>
      <c r="EP8" s="53" t="s">
        <v>992</v>
      </c>
      <c r="EQ8" s="53" t="s">
        <v>993</v>
      </c>
      <c r="ER8" s="532">
        <v>148</v>
      </c>
      <c r="ES8" s="532" t="s">
        <v>1005</v>
      </c>
      <c r="ET8" s="1519" t="s">
        <v>1083</v>
      </c>
      <c r="EU8" s="1519" t="s">
        <v>1084</v>
      </c>
      <c r="EV8" s="1519" t="s">
        <v>1092</v>
      </c>
      <c r="EW8" s="532" t="s">
        <v>1105</v>
      </c>
      <c r="EX8" s="532" t="s">
        <v>1137</v>
      </c>
      <c r="EY8" s="532" t="s">
        <v>1150</v>
      </c>
    </row>
    <row r="9" spans="1:155" s="788" customFormat="1" ht="14.25" customHeight="1">
      <c r="A9" s="823" t="s">
        <v>72</v>
      </c>
      <c r="B9" s="770" t="s">
        <v>515</v>
      </c>
      <c r="C9" s="771" t="s">
        <v>8</v>
      </c>
      <c r="D9" s="772" t="s">
        <v>25</v>
      </c>
      <c r="E9" s="770" t="s">
        <v>26</v>
      </c>
      <c r="F9" s="770">
        <v>32</v>
      </c>
      <c r="G9" s="773"/>
      <c r="H9" s="824" t="s">
        <v>316</v>
      </c>
      <c r="I9" s="825" t="s">
        <v>1141</v>
      </c>
      <c r="J9" s="775" t="s">
        <v>1143</v>
      </c>
      <c r="K9" s="775" t="s">
        <v>1145</v>
      </c>
      <c r="L9" s="775" t="s">
        <v>1147</v>
      </c>
      <c r="M9" s="775" t="s">
        <v>1149</v>
      </c>
      <c r="N9" s="775" t="s">
        <v>1153</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1159</v>
      </c>
      <c r="AT9" s="832"/>
      <c r="AU9" s="831" t="s">
        <v>1069</v>
      </c>
      <c r="AV9" s="832"/>
      <c r="AW9" s="831" t="s">
        <v>1071</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650</v>
      </c>
      <c r="BW9" s="530" t="s">
        <v>385</v>
      </c>
      <c r="BX9" s="530" t="s">
        <v>386</v>
      </c>
      <c r="BY9" s="530" t="s">
        <v>1166</v>
      </c>
      <c r="BZ9" s="530" t="s">
        <v>637</v>
      </c>
      <c r="CA9" s="530" t="s">
        <v>529</v>
      </c>
      <c r="CB9" s="530" t="s">
        <v>530</v>
      </c>
      <c r="CC9" s="530" t="s">
        <v>531</v>
      </c>
      <c r="CD9" s="530" t="s">
        <v>532</v>
      </c>
      <c r="CE9" s="530"/>
      <c r="CF9" s="530"/>
      <c r="CG9" s="530"/>
      <c r="CH9" s="530"/>
      <c r="CI9" s="530" t="s">
        <v>666</v>
      </c>
      <c r="CJ9" s="530" t="s">
        <v>533</v>
      </c>
      <c r="CK9" s="530" t="s">
        <v>644</v>
      </c>
      <c r="CL9" s="530" t="s">
        <v>646</v>
      </c>
      <c r="CM9" s="530" t="s">
        <v>648</v>
      </c>
      <c r="CN9" s="530">
        <v>1088</v>
      </c>
      <c r="CO9" s="530">
        <v>720</v>
      </c>
      <c r="CP9" s="530">
        <v>1088</v>
      </c>
      <c r="CQ9" s="836" t="s">
        <v>1126</v>
      </c>
      <c r="CR9" s="836" t="s">
        <v>638</v>
      </c>
      <c r="CS9" s="530"/>
      <c r="CT9" s="530"/>
      <c r="CU9" s="530"/>
      <c r="CV9" s="530" t="s">
        <v>655</v>
      </c>
      <c r="CW9" s="530" t="s">
        <v>528</v>
      </c>
      <c r="CX9" s="530" t="s">
        <v>450</v>
      </c>
      <c r="CY9" s="530" t="s">
        <v>572</v>
      </c>
      <c r="CZ9" s="530" t="s">
        <v>573</v>
      </c>
      <c r="DA9" s="530" t="s">
        <v>574</v>
      </c>
      <c r="DB9" s="831" t="s">
        <v>1160</v>
      </c>
      <c r="DC9" s="831" t="s">
        <v>1161</v>
      </c>
      <c r="DD9" s="530"/>
      <c r="DE9" s="530" t="s">
        <v>307</v>
      </c>
      <c r="DF9" s="530"/>
      <c r="DG9" s="530" t="s">
        <v>585</v>
      </c>
      <c r="DH9" s="530" t="s">
        <v>652</v>
      </c>
      <c r="DI9" s="530" t="s">
        <v>653</v>
      </c>
      <c r="DJ9" s="530" t="s">
        <v>654</v>
      </c>
      <c r="DK9" s="530"/>
      <c r="DL9" s="530"/>
      <c r="DM9" s="530"/>
      <c r="DN9" s="530"/>
      <c r="DO9" s="530"/>
      <c r="DP9" s="530"/>
      <c r="DQ9" s="530"/>
      <c r="DR9" s="530"/>
      <c r="DS9" s="530"/>
      <c r="DT9" s="530"/>
      <c r="DU9" s="530" t="s">
        <v>875</v>
      </c>
      <c r="DV9" s="530" t="s">
        <v>870</v>
      </c>
      <c r="DW9" s="530" t="s">
        <v>871</v>
      </c>
      <c r="DX9" s="530" t="s">
        <v>872</v>
      </c>
      <c r="DY9" s="530" t="s">
        <v>873</v>
      </c>
      <c r="DZ9" s="530"/>
      <c r="EA9" s="530"/>
      <c r="EB9" s="530"/>
      <c r="EC9" s="530"/>
      <c r="ED9" s="530"/>
      <c r="EE9" s="530"/>
      <c r="EF9" s="530"/>
      <c r="EG9" s="530"/>
      <c r="EH9" s="530"/>
      <c r="EI9" s="530"/>
      <c r="EJ9" s="530"/>
      <c r="EK9" s="530"/>
      <c r="EL9" s="836" t="s">
        <v>1056</v>
      </c>
      <c r="EM9" s="836" t="s">
        <v>1057</v>
      </c>
      <c r="EN9" s="530" t="s">
        <v>1055</v>
      </c>
      <c r="EO9" s="1318" t="s">
        <v>1162</v>
      </c>
      <c r="EP9" s="1318" t="s">
        <v>1132</v>
      </c>
      <c r="EQ9" s="1318" t="s">
        <v>1133</v>
      </c>
      <c r="ER9" s="1337">
        <v>1200</v>
      </c>
      <c r="ES9" s="1331"/>
      <c r="ET9" s="1520"/>
      <c r="EU9" s="1520"/>
      <c r="EV9" s="530" t="s">
        <v>1095</v>
      </c>
      <c r="EW9" s="530"/>
      <c r="EX9" s="530"/>
      <c r="EY9" s="530"/>
    </row>
    <row r="10" spans="1:155" ht="14.25" customHeight="1">
      <c r="A10" s="147" t="s">
        <v>184</v>
      </c>
      <c r="B10" s="21" t="s">
        <v>515</v>
      </c>
      <c r="C10" s="22" t="s">
        <v>8</v>
      </c>
      <c r="D10" s="23" t="s">
        <v>114</v>
      </c>
      <c r="E10" s="21" t="s">
        <v>114</v>
      </c>
      <c r="F10" s="21" t="s">
        <v>179</v>
      </c>
      <c r="G10" s="6"/>
      <c r="H10" s="146"/>
      <c r="I10" s="193" t="s">
        <v>682</v>
      </c>
      <c r="J10" s="194" t="s">
        <v>680</v>
      </c>
      <c r="K10" s="194" t="s">
        <v>681</v>
      </c>
      <c r="L10" s="194" t="s">
        <v>686</v>
      </c>
      <c r="M10" s="60" t="s">
        <v>673</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1012</v>
      </c>
      <c r="AT10" s="66"/>
      <c r="AU10" s="161" t="s">
        <v>1013</v>
      </c>
      <c r="AV10" s="66"/>
      <c r="AW10" s="161" t="s">
        <v>1014</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1015</v>
      </c>
      <c r="BZ10" s="167"/>
      <c r="CA10" s="167"/>
      <c r="CB10" s="167"/>
      <c r="CC10" s="167"/>
      <c r="CD10" s="167"/>
      <c r="CE10" s="167"/>
      <c r="CF10" s="167"/>
      <c r="CG10" s="167"/>
      <c r="CH10" s="167"/>
      <c r="CI10" s="167" t="s">
        <v>668</v>
      </c>
      <c r="CJ10" s="167" t="s">
        <v>382</v>
      </c>
      <c r="CK10" s="167" t="s">
        <v>602</v>
      </c>
      <c r="CL10" s="167" t="s">
        <v>603</v>
      </c>
      <c r="CM10" s="167" t="s">
        <v>604</v>
      </c>
      <c r="CN10" s="167">
        <v>1175</v>
      </c>
      <c r="CO10" s="167">
        <v>0</v>
      </c>
      <c r="CP10" s="315" t="s">
        <v>535</v>
      </c>
      <c r="CQ10" s="167" t="s">
        <v>1016</v>
      </c>
      <c r="CR10" s="167"/>
      <c r="CS10" s="167"/>
      <c r="CT10" s="169"/>
      <c r="CU10" s="169"/>
      <c r="CV10" s="169" t="s">
        <v>403</v>
      </c>
      <c r="CW10" s="169" t="s">
        <v>442</v>
      </c>
      <c r="CX10" s="169" t="s">
        <v>445</v>
      </c>
      <c r="CY10" s="169" t="s">
        <v>669</v>
      </c>
      <c r="CZ10" s="169" t="s">
        <v>670</v>
      </c>
      <c r="DA10" s="169" t="s">
        <v>671</v>
      </c>
      <c r="DB10" s="355" t="s">
        <v>683</v>
      </c>
      <c r="DC10" s="354"/>
      <c r="DD10" s="169"/>
      <c r="DE10" s="169" t="s">
        <v>308</v>
      </c>
      <c r="DF10" s="169"/>
      <c r="DG10" s="169" t="s">
        <v>672</v>
      </c>
      <c r="DH10" s="167" t="s">
        <v>550</v>
      </c>
      <c r="DI10" s="167" t="s">
        <v>548</v>
      </c>
      <c r="DJ10" s="167" t="s">
        <v>549</v>
      </c>
      <c r="DK10" s="167"/>
      <c r="DL10" s="167"/>
      <c r="DM10" s="315"/>
      <c r="DN10" s="315"/>
      <c r="DO10" s="315"/>
      <c r="DP10" s="315"/>
      <c r="DQ10" s="315"/>
      <c r="DR10" s="315"/>
      <c r="DS10" s="315"/>
      <c r="DT10" s="315"/>
      <c r="DU10" s="168" t="s">
        <v>797</v>
      </c>
      <c r="DV10" s="315" t="s">
        <v>924</v>
      </c>
      <c r="DW10" s="315" t="s">
        <v>921</v>
      </c>
      <c r="DX10" s="315" t="s">
        <v>922</v>
      </c>
      <c r="DY10" s="315" t="s">
        <v>923</v>
      </c>
      <c r="DZ10" s="315"/>
      <c r="EA10" s="315"/>
      <c r="EB10" s="315"/>
      <c r="EC10" s="315"/>
      <c r="ED10" s="315"/>
      <c r="EE10" s="315"/>
      <c r="EF10" s="315"/>
      <c r="EG10" s="315"/>
      <c r="EH10" s="315"/>
      <c r="EI10" s="315"/>
      <c r="EJ10" s="315"/>
      <c r="EK10" s="315"/>
      <c r="EL10" s="315"/>
      <c r="EM10" s="315"/>
      <c r="EN10" s="315"/>
      <c r="EO10" s="355" t="s">
        <v>1027</v>
      </c>
      <c r="EP10" s="355" t="s">
        <v>1028</v>
      </c>
      <c r="EQ10" s="355" t="s">
        <v>1029</v>
      </c>
      <c r="ER10" s="1338">
        <v>1600</v>
      </c>
      <c r="ES10" s="380"/>
      <c r="ET10" s="1520"/>
      <c r="EU10" s="1520"/>
      <c r="EV10" s="530" t="s">
        <v>1097</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1066</v>
      </c>
      <c r="J11" s="350" t="s">
        <v>1063</v>
      </c>
      <c r="K11" s="350" t="s">
        <v>1119</v>
      </c>
      <c r="L11" s="350" t="s">
        <v>1072</v>
      </c>
      <c r="M11" s="350" t="s">
        <v>642</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1064</v>
      </c>
      <c r="AT11" s="778"/>
      <c r="AU11" s="777" t="s">
        <v>1070</v>
      </c>
      <c r="AV11" s="778"/>
      <c r="AW11" s="777" t="s">
        <v>1073</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649</v>
      </c>
      <c r="BW11" s="530" t="s">
        <v>327</v>
      </c>
      <c r="BX11" s="530" t="s">
        <v>328</v>
      </c>
      <c r="BY11" s="790" t="s">
        <v>1168</v>
      </c>
      <c r="BZ11" s="530" t="s">
        <v>984</v>
      </c>
      <c r="CA11" s="530" t="s">
        <v>363</v>
      </c>
      <c r="CB11" s="530" t="s">
        <v>358</v>
      </c>
      <c r="CC11" s="530" t="s">
        <v>359</v>
      </c>
      <c r="CD11" s="530" t="s">
        <v>360</v>
      </c>
      <c r="CE11" s="790"/>
      <c r="CF11" s="790"/>
      <c r="CG11" s="790"/>
      <c r="CH11" s="790"/>
      <c r="CI11" s="790" t="s">
        <v>639</v>
      </c>
      <c r="CJ11" s="790" t="s">
        <v>376</v>
      </c>
      <c r="CK11" s="530" t="s">
        <v>643</v>
      </c>
      <c r="CL11" s="530" t="s">
        <v>645</v>
      </c>
      <c r="CM11" s="530" t="s">
        <v>647</v>
      </c>
      <c r="CN11" s="530">
        <v>1088</v>
      </c>
      <c r="CO11" s="790">
        <v>1000</v>
      </c>
      <c r="CP11" s="530">
        <v>1088</v>
      </c>
      <c r="CQ11" s="530" t="s">
        <v>1129</v>
      </c>
      <c r="CR11" s="530" t="s">
        <v>1128</v>
      </c>
      <c r="CS11" s="790"/>
      <c r="CT11" s="530"/>
      <c r="CU11" s="530"/>
      <c r="CV11" s="530" t="s">
        <v>655</v>
      </c>
      <c r="CW11" s="530" t="s">
        <v>435</v>
      </c>
      <c r="CX11" s="530" t="s">
        <v>450</v>
      </c>
      <c r="CY11" s="530" t="s">
        <v>572</v>
      </c>
      <c r="CZ11" s="530" t="s">
        <v>573</v>
      </c>
      <c r="DA11" s="530" t="s">
        <v>574</v>
      </c>
      <c r="DB11" s="363" t="s">
        <v>1154</v>
      </c>
      <c r="DC11" s="363" t="s">
        <v>1155</v>
      </c>
      <c r="DD11" s="530"/>
      <c r="DE11" s="530" t="s">
        <v>309</v>
      </c>
      <c r="DF11" s="530"/>
      <c r="DG11" s="530" t="s">
        <v>585</v>
      </c>
      <c r="DH11" s="530" t="s">
        <v>652</v>
      </c>
      <c r="DI11" s="530" t="s">
        <v>653</v>
      </c>
      <c r="DJ11" s="530" t="s">
        <v>654</v>
      </c>
      <c r="DK11" s="530"/>
      <c r="DL11" s="530"/>
      <c r="DM11" s="836"/>
      <c r="DN11" s="836"/>
      <c r="DO11" s="836"/>
      <c r="DP11" s="836"/>
      <c r="DQ11" s="836"/>
      <c r="DR11" s="836"/>
      <c r="DS11" s="836"/>
      <c r="DT11" s="836"/>
      <c r="DU11" s="836" t="s">
        <v>875</v>
      </c>
      <c r="DV11" s="836" t="s">
        <v>870</v>
      </c>
      <c r="DW11" s="836" t="s">
        <v>871</v>
      </c>
      <c r="DX11" s="836" t="s">
        <v>872</v>
      </c>
      <c r="DY11" s="836" t="s">
        <v>873</v>
      </c>
      <c r="DZ11" s="836"/>
      <c r="EA11" s="836"/>
      <c r="EB11" s="836"/>
      <c r="EC11" s="836"/>
      <c r="ED11" s="836"/>
      <c r="EE11" s="836"/>
      <c r="EF11" s="836"/>
      <c r="EG11" s="836"/>
      <c r="EH11" s="836"/>
      <c r="EI11" s="836"/>
      <c r="EJ11" s="836"/>
      <c r="EK11" s="836"/>
      <c r="EL11" s="836"/>
      <c r="EM11" s="836"/>
      <c r="EN11" s="836"/>
      <c r="EO11" s="1364" t="s">
        <v>1163</v>
      </c>
      <c r="EP11" s="1364" t="s">
        <v>1130</v>
      </c>
      <c r="EQ11" s="1364" t="s">
        <v>1131</v>
      </c>
      <c r="ER11" s="1339">
        <v>1323</v>
      </c>
      <c r="ES11" s="1332"/>
      <c r="ET11" s="1520"/>
      <c r="EU11" s="1520"/>
      <c r="EV11" s="530" t="s">
        <v>1094</v>
      </c>
      <c r="EW11" s="836"/>
      <c r="EX11" s="836"/>
      <c r="EY11" s="836"/>
    </row>
    <row r="12" spans="1:155" s="788" customFormat="1" ht="14.25" customHeight="1">
      <c r="A12" s="823" t="s">
        <v>517</v>
      </c>
      <c r="B12" s="770" t="s">
        <v>515</v>
      </c>
      <c r="C12" s="771" t="s">
        <v>8</v>
      </c>
      <c r="D12" s="772" t="s">
        <v>25</v>
      </c>
      <c r="E12" s="770" t="s">
        <v>25</v>
      </c>
      <c r="F12" s="770">
        <v>31</v>
      </c>
      <c r="G12" s="773"/>
      <c r="H12" s="839"/>
      <c r="I12" s="351" t="s">
        <v>1142</v>
      </c>
      <c r="J12" s="350" t="s">
        <v>1144</v>
      </c>
      <c r="K12" s="350" t="s">
        <v>1146</v>
      </c>
      <c r="L12" s="350" t="s">
        <v>1148</v>
      </c>
      <c r="M12" s="350" t="s">
        <v>1140</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1156</v>
      </c>
      <c r="AT12" s="778"/>
      <c r="AU12" s="777" t="s">
        <v>1067</v>
      </c>
      <c r="AV12" s="778"/>
      <c r="AW12" s="777" t="s">
        <v>1074</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651</v>
      </c>
      <c r="BW12" s="530" t="s">
        <v>495</v>
      </c>
      <c r="BX12" s="530" t="s">
        <v>496</v>
      </c>
      <c r="BY12" s="790" t="s">
        <v>1167</v>
      </c>
      <c r="BZ12" s="530"/>
      <c r="CA12" s="530" t="s">
        <v>363</v>
      </c>
      <c r="CB12" s="530" t="s">
        <v>358</v>
      </c>
      <c r="CC12" s="530" t="s">
        <v>359</v>
      </c>
      <c r="CD12" s="530" t="s">
        <v>360</v>
      </c>
      <c r="CE12" s="790"/>
      <c r="CF12" s="790"/>
      <c r="CG12" s="790"/>
      <c r="CH12" s="790"/>
      <c r="CI12" s="790" t="s">
        <v>639</v>
      </c>
      <c r="CJ12" s="790" t="s">
        <v>376</v>
      </c>
      <c r="CK12" s="530" t="s">
        <v>644</v>
      </c>
      <c r="CL12" s="530" t="s">
        <v>646</v>
      </c>
      <c r="CM12" s="530" t="s">
        <v>648</v>
      </c>
      <c r="CN12" s="836" t="s">
        <v>431</v>
      </c>
      <c r="CO12" s="790">
        <v>2880</v>
      </c>
      <c r="CP12" s="836" t="s">
        <v>389</v>
      </c>
      <c r="CQ12" s="836" t="s">
        <v>1127</v>
      </c>
      <c r="CR12" s="836"/>
      <c r="CS12" s="790"/>
      <c r="CT12" s="530"/>
      <c r="CU12" s="530"/>
      <c r="CV12" s="530" t="s">
        <v>655</v>
      </c>
      <c r="CW12" s="530" t="s">
        <v>435</v>
      </c>
      <c r="CX12" s="530" t="s">
        <v>450</v>
      </c>
      <c r="CY12" s="530" t="s">
        <v>572</v>
      </c>
      <c r="CZ12" s="530" t="s">
        <v>573</v>
      </c>
      <c r="DA12" s="530" t="s">
        <v>574</v>
      </c>
      <c r="DB12" s="831" t="s">
        <v>1157</v>
      </c>
      <c r="DC12" s="831" t="s">
        <v>1158</v>
      </c>
      <c r="DD12" s="530"/>
      <c r="DE12" s="530" t="s">
        <v>310</v>
      </c>
      <c r="DF12" s="530"/>
      <c r="DG12" s="530" t="s">
        <v>585</v>
      </c>
      <c r="DH12" s="530" t="s">
        <v>652</v>
      </c>
      <c r="DI12" s="530" t="s">
        <v>653</v>
      </c>
      <c r="DJ12" s="530" t="s">
        <v>654</v>
      </c>
      <c r="DK12" s="530"/>
      <c r="DL12" s="530"/>
      <c r="DM12" s="836"/>
      <c r="DN12" s="836"/>
      <c r="DO12" s="836"/>
      <c r="DP12" s="836"/>
      <c r="DQ12" s="836"/>
      <c r="DR12" s="836"/>
      <c r="DS12" s="836"/>
      <c r="DT12" s="836"/>
      <c r="DU12" s="836" t="s">
        <v>875</v>
      </c>
      <c r="DV12" s="836" t="s">
        <v>870</v>
      </c>
      <c r="DW12" s="836" t="s">
        <v>871</v>
      </c>
      <c r="DX12" s="836" t="s">
        <v>872</v>
      </c>
      <c r="DY12" s="836" t="s">
        <v>873</v>
      </c>
      <c r="DZ12" s="836"/>
      <c r="EA12" s="836"/>
      <c r="EB12" s="836"/>
      <c r="EC12" s="836"/>
      <c r="ED12" s="836"/>
      <c r="EE12" s="836"/>
      <c r="EF12" s="836"/>
      <c r="EG12" s="836"/>
      <c r="EH12" s="836"/>
      <c r="EI12" s="836"/>
      <c r="EJ12" s="836"/>
      <c r="EK12" s="836"/>
      <c r="EL12" s="836" t="s">
        <v>1056</v>
      </c>
      <c r="EM12" s="836" t="s">
        <v>1057</v>
      </c>
      <c r="EN12" s="530" t="s">
        <v>1055</v>
      </c>
      <c r="EO12" s="1318" t="s">
        <v>1165</v>
      </c>
      <c r="EP12" s="1318" t="s">
        <v>1134</v>
      </c>
      <c r="EQ12" s="1318" t="s">
        <v>1135</v>
      </c>
      <c r="ER12" s="1337">
        <v>680</v>
      </c>
      <c r="ES12" s="1333"/>
      <c r="ET12" s="1520"/>
      <c r="EU12" s="1520"/>
      <c r="EV12" s="530" t="s">
        <v>1094</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657</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676</v>
      </c>
      <c r="J16" s="350" t="s">
        <v>1035</v>
      </c>
      <c r="K16" s="350" t="s">
        <v>1043</v>
      </c>
      <c r="L16" s="350" t="s">
        <v>1048</v>
      </c>
      <c r="M16" s="350" t="s">
        <v>675</v>
      </c>
      <c r="N16" s="350" t="s">
        <v>418</v>
      </c>
      <c r="O16" s="775" t="s">
        <v>419</v>
      </c>
      <c r="P16" s="350" t="s">
        <v>629</v>
      </c>
      <c r="Q16" s="350" t="s">
        <v>630</v>
      </c>
      <c r="R16" s="350" t="s">
        <v>631</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983</v>
      </c>
      <c r="AT16" s="778" t="s">
        <v>935</v>
      </c>
      <c r="AU16" s="777" t="s">
        <v>687</v>
      </c>
      <c r="AV16" s="778" t="s">
        <v>936</v>
      </c>
      <c r="AW16" s="777" t="s">
        <v>688</v>
      </c>
      <c r="AX16" s="778" t="s">
        <v>937</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1017</v>
      </c>
      <c r="BZ16" s="787" t="s">
        <v>1111</v>
      </c>
      <c r="CA16" s="786"/>
      <c r="CB16" s="786"/>
      <c r="CC16" s="786"/>
      <c r="CD16" s="786"/>
      <c r="CE16" s="786"/>
      <c r="CF16" s="786"/>
      <c r="CG16" s="786"/>
      <c r="CH16" s="786"/>
      <c r="CI16" s="786" t="s">
        <v>641</v>
      </c>
      <c r="CJ16" s="786" t="s">
        <v>510</v>
      </c>
      <c r="CK16" s="786" t="s">
        <v>608</v>
      </c>
      <c r="CL16" s="786" t="s">
        <v>609</v>
      </c>
      <c r="CM16" s="786" t="s">
        <v>610</v>
      </c>
      <c r="CN16" s="786">
        <v>1262</v>
      </c>
      <c r="CO16" s="786">
        <v>6600</v>
      </c>
      <c r="CP16" s="786">
        <v>1262</v>
      </c>
      <c r="CQ16" s="787" t="s">
        <v>677</v>
      </c>
      <c r="CR16" s="787" t="s">
        <v>1112</v>
      </c>
      <c r="CS16" s="786" t="s">
        <v>500</v>
      </c>
      <c r="CT16" s="530"/>
      <c r="CU16" s="530"/>
      <c r="CV16" s="530" t="s">
        <v>485</v>
      </c>
      <c r="CW16" s="530" t="s">
        <v>436</v>
      </c>
      <c r="CX16" s="530" t="s">
        <v>216</v>
      </c>
      <c r="CY16" s="530"/>
      <c r="CZ16" s="530"/>
      <c r="DA16" s="530"/>
      <c r="DB16" s="363" t="s">
        <v>1036</v>
      </c>
      <c r="DC16" s="363" t="s">
        <v>1037</v>
      </c>
      <c r="DD16" s="530"/>
      <c r="DE16" s="530" t="s">
        <v>685</v>
      </c>
      <c r="DF16" s="530" t="s">
        <v>527</v>
      </c>
      <c r="DG16" s="530"/>
      <c r="DH16" s="786" t="s">
        <v>545</v>
      </c>
      <c r="DI16" s="786" t="s">
        <v>546</v>
      </c>
      <c r="DJ16" s="786" t="s">
        <v>547</v>
      </c>
      <c r="DK16" s="786"/>
      <c r="DL16" s="786"/>
      <c r="DM16" s="786"/>
      <c r="DN16" s="786"/>
      <c r="DO16" s="786"/>
      <c r="DP16" s="786"/>
      <c r="DQ16" s="786"/>
      <c r="DR16" s="786"/>
      <c r="DS16" s="786"/>
      <c r="DT16" s="786"/>
      <c r="DU16" s="786" t="s">
        <v>796</v>
      </c>
      <c r="DV16" s="786"/>
      <c r="DW16" s="786"/>
      <c r="DX16" s="786"/>
      <c r="DY16" s="786"/>
      <c r="DZ16" s="786"/>
      <c r="EA16" s="786"/>
      <c r="EB16" s="786" t="s">
        <v>981</v>
      </c>
      <c r="EC16" s="786" t="s">
        <v>809</v>
      </c>
      <c r="ED16" s="786"/>
      <c r="EE16" s="786">
        <v>6000</v>
      </c>
      <c r="EF16" s="786">
        <v>650</v>
      </c>
      <c r="EG16" s="786"/>
      <c r="EH16" s="786"/>
      <c r="EI16" s="786" t="s">
        <v>810</v>
      </c>
      <c r="EJ16" s="786"/>
      <c r="EK16" s="786"/>
      <c r="EL16" s="786"/>
      <c r="EM16" s="786"/>
      <c r="EN16" s="786"/>
      <c r="EO16" s="1317" t="s">
        <v>1065</v>
      </c>
      <c r="EP16" s="1317" t="s">
        <v>1068</v>
      </c>
      <c r="EQ16" s="1317" t="s">
        <v>1075</v>
      </c>
      <c r="ER16" s="1341" t="s">
        <v>1026</v>
      </c>
      <c r="ES16" s="1332"/>
      <c r="ET16" s="1520"/>
      <c r="EU16" s="1520"/>
      <c r="EV16" s="530" t="s">
        <v>1093</v>
      </c>
      <c r="EW16" s="786"/>
      <c r="EX16" s="786"/>
      <c r="EY16" s="786"/>
    </row>
    <row r="17" spans="1:155" ht="14.25" customHeight="1">
      <c r="A17" s="7" t="s">
        <v>517</v>
      </c>
      <c r="B17" s="21" t="s">
        <v>515</v>
      </c>
      <c r="C17" s="22" t="s">
        <v>8</v>
      </c>
      <c r="D17" s="23" t="s">
        <v>25</v>
      </c>
      <c r="E17" s="21" t="s">
        <v>25</v>
      </c>
      <c r="F17" s="21">
        <v>31</v>
      </c>
      <c r="G17" s="6"/>
      <c r="H17" s="24"/>
      <c r="I17" s="25" t="s">
        <v>676</v>
      </c>
      <c r="J17" s="26" t="s">
        <v>1038</v>
      </c>
      <c r="K17" s="26" t="s">
        <v>1044</v>
      </c>
      <c r="L17" s="26" t="s">
        <v>1049</v>
      </c>
      <c r="M17" s="26" t="s">
        <v>675</v>
      </c>
      <c r="N17" s="26" t="s">
        <v>196</v>
      </c>
      <c r="O17" s="60" t="s">
        <v>283</v>
      </c>
      <c r="P17" s="26" t="s">
        <v>629</v>
      </c>
      <c r="Q17" s="26" t="s">
        <v>630</v>
      </c>
      <c r="R17" s="26" t="s">
        <v>631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1039</v>
      </c>
      <c r="AT17" s="27"/>
      <c r="AU17" s="52" t="s">
        <v>1045</v>
      </c>
      <c r="AV17" s="27"/>
      <c r="AW17" s="52" t="s">
        <v>1050</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692</v>
      </c>
      <c r="BZ17" s="170"/>
      <c r="CA17" s="170"/>
      <c r="CB17" s="170"/>
      <c r="CC17" s="170"/>
      <c r="CD17" s="170"/>
      <c r="CE17" s="170"/>
      <c r="CF17" s="170"/>
      <c r="CG17" s="170"/>
      <c r="CH17" s="170"/>
      <c r="CI17" s="170" t="s">
        <v>641</v>
      </c>
      <c r="CJ17" s="170" t="s">
        <v>510</v>
      </c>
      <c r="CK17" s="168" t="s">
        <v>608</v>
      </c>
      <c r="CL17" s="168" t="s">
        <v>609</v>
      </c>
      <c r="CM17" s="168" t="s">
        <v>610</v>
      </c>
      <c r="CN17" s="315" t="s">
        <v>431</v>
      </c>
      <c r="CO17" s="170">
        <v>2880</v>
      </c>
      <c r="CP17" s="228" t="s">
        <v>390</v>
      </c>
      <c r="CQ17" s="228" t="s">
        <v>677</v>
      </c>
      <c r="CR17" s="228"/>
      <c r="CS17" s="168" t="s">
        <v>500</v>
      </c>
      <c r="CT17" s="169"/>
      <c r="CU17" s="169"/>
      <c r="CV17" s="169" t="s">
        <v>485</v>
      </c>
      <c r="CW17" s="169" t="s">
        <v>436</v>
      </c>
      <c r="CX17" s="169" t="s">
        <v>216</v>
      </c>
      <c r="CY17" s="169"/>
      <c r="CZ17" s="169"/>
      <c r="DA17" s="169"/>
      <c r="DB17" s="160" t="s">
        <v>1040</v>
      </c>
      <c r="DC17" s="160" t="s">
        <v>1041</v>
      </c>
      <c r="DD17" s="169"/>
      <c r="DE17" s="169" t="s">
        <v>685</v>
      </c>
      <c r="DF17" s="169" t="s">
        <v>527</v>
      </c>
      <c r="DG17" s="530"/>
      <c r="DH17" s="168" t="s">
        <v>545</v>
      </c>
      <c r="DI17" s="168" t="s">
        <v>546</v>
      </c>
      <c r="DJ17" s="168" t="s">
        <v>547</v>
      </c>
      <c r="DK17" s="168"/>
      <c r="DL17" s="168"/>
      <c r="DM17" s="168"/>
      <c r="DN17" s="168"/>
      <c r="DO17" s="168"/>
      <c r="DP17" s="168"/>
      <c r="DQ17" s="168"/>
      <c r="DR17" s="168"/>
      <c r="DS17" s="168"/>
      <c r="DT17" s="168"/>
      <c r="DU17" s="168" t="s">
        <v>796</v>
      </c>
      <c r="DV17" s="168"/>
      <c r="DW17" s="168"/>
      <c r="DX17" s="168"/>
      <c r="DY17" s="168"/>
      <c r="DZ17" s="168"/>
      <c r="EA17" s="168"/>
      <c r="EB17" s="168"/>
      <c r="EC17" s="168"/>
      <c r="ED17" s="168"/>
      <c r="EE17" s="168"/>
      <c r="EF17" s="168"/>
      <c r="EG17" s="168"/>
      <c r="EH17" s="168"/>
      <c r="EI17" s="168" t="s">
        <v>810</v>
      </c>
      <c r="EJ17" s="168"/>
      <c r="EK17" s="168"/>
      <c r="EL17" s="168"/>
      <c r="EM17" s="168"/>
      <c r="EN17" s="168"/>
      <c r="EO17" s="1317" t="s">
        <v>1042</v>
      </c>
      <c r="EP17" s="1317" t="s">
        <v>1046</v>
      </c>
      <c r="EQ17" s="1317" t="s">
        <v>1051</v>
      </c>
      <c r="ER17" s="1339">
        <v>1000</v>
      </c>
      <c r="ES17" s="1332"/>
      <c r="ET17" s="1520"/>
      <c r="EU17" s="1520"/>
      <c r="EV17" s="530" t="s">
        <v>1093</v>
      </c>
      <c r="EW17" s="168"/>
      <c r="EX17" s="168"/>
      <c r="EY17" s="168"/>
    </row>
    <row r="18" spans="1:155" ht="14.25" customHeight="1">
      <c r="A18" s="7" t="s">
        <v>184</v>
      </c>
      <c r="B18" s="21" t="s">
        <v>515</v>
      </c>
      <c r="C18" s="22" t="s">
        <v>8</v>
      </c>
      <c r="D18" s="23" t="s">
        <v>114</v>
      </c>
      <c r="E18" s="21" t="s">
        <v>114</v>
      </c>
      <c r="F18" s="21" t="s">
        <v>179</v>
      </c>
      <c r="G18" s="6"/>
      <c r="H18" s="24"/>
      <c r="I18" s="25" t="s">
        <v>185</v>
      </c>
      <c r="J18" s="26" t="s">
        <v>1087</v>
      </c>
      <c r="K18" s="26" t="s">
        <v>187</v>
      </c>
      <c r="L18" s="26" t="s">
        <v>1047</v>
      </c>
      <c r="M18" s="26" t="s">
        <v>674</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698</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929</v>
      </c>
      <c r="BZ18" s="187" t="s">
        <v>980</v>
      </c>
      <c r="CA18" s="167"/>
      <c r="CB18" s="167"/>
      <c r="CC18" s="167"/>
      <c r="CD18" s="167"/>
      <c r="CE18" s="167"/>
      <c r="CF18" s="167"/>
      <c r="CG18" s="167"/>
      <c r="CH18" s="167"/>
      <c r="CI18" s="167" t="s">
        <v>667</v>
      </c>
      <c r="CJ18" s="167" t="s">
        <v>381</v>
      </c>
      <c r="CK18" s="167" t="s">
        <v>611</v>
      </c>
      <c r="CL18" s="167" t="s">
        <v>612</v>
      </c>
      <c r="CM18" s="167" t="s">
        <v>612</v>
      </c>
      <c r="CN18" s="167">
        <v>1175</v>
      </c>
      <c r="CO18" s="167">
        <v>1800</v>
      </c>
      <c r="CP18" s="315" t="s">
        <v>534</v>
      </c>
      <c r="CQ18" s="167" t="s">
        <v>979</v>
      </c>
      <c r="CR18" s="167"/>
      <c r="CS18" s="167" t="s">
        <v>815</v>
      </c>
      <c r="CT18" s="169"/>
      <c r="CU18" s="169"/>
      <c r="CV18" s="169" t="s">
        <v>402</v>
      </c>
      <c r="CW18" s="169" t="s">
        <v>441</v>
      </c>
      <c r="CX18" s="169" t="s">
        <v>444</v>
      </c>
      <c r="CY18" s="169"/>
      <c r="CZ18" s="169"/>
      <c r="DA18" s="169"/>
      <c r="DB18" s="355" t="s">
        <v>1034</v>
      </c>
      <c r="DC18" s="361"/>
      <c r="DD18" s="169"/>
      <c r="DE18" s="362" t="s">
        <v>684</v>
      </c>
      <c r="DF18" s="362" t="s">
        <v>186</v>
      </c>
      <c r="DG18" s="530"/>
      <c r="DH18" s="167" t="s">
        <v>553</v>
      </c>
      <c r="DI18" s="167" t="s">
        <v>551</v>
      </c>
      <c r="DJ18" s="167" t="s">
        <v>552</v>
      </c>
      <c r="DK18" s="167"/>
      <c r="DL18" s="167"/>
      <c r="DM18" s="168"/>
      <c r="DN18" s="168"/>
      <c r="DO18" s="168"/>
      <c r="DP18" s="168"/>
      <c r="DQ18" s="168"/>
      <c r="DR18" s="168"/>
      <c r="DS18" s="168"/>
      <c r="DT18" s="168"/>
      <c r="DU18" s="168" t="s">
        <v>797</v>
      </c>
      <c r="DV18" s="168"/>
      <c r="DW18" s="168"/>
      <c r="DX18" s="168"/>
      <c r="DY18" s="168"/>
      <c r="DZ18" s="168"/>
      <c r="EA18" s="168"/>
      <c r="EB18" s="168" t="s">
        <v>808</v>
      </c>
      <c r="EC18" s="168" t="s">
        <v>811</v>
      </c>
      <c r="ED18" s="168"/>
      <c r="EE18" s="168">
        <v>1200</v>
      </c>
      <c r="EF18" s="168">
        <v>600</v>
      </c>
      <c r="EG18" s="168"/>
      <c r="EH18" s="168"/>
      <c r="EI18" s="168" t="s">
        <v>813</v>
      </c>
      <c r="EJ18" s="168"/>
      <c r="EK18" s="168"/>
      <c r="EL18" s="168"/>
      <c r="EM18" s="168"/>
      <c r="EN18" s="168"/>
      <c r="EO18" s="355" t="s">
        <v>1034</v>
      </c>
      <c r="EP18" s="355" t="s">
        <v>187</v>
      </c>
      <c r="EQ18" s="355" t="s">
        <v>1047</v>
      </c>
      <c r="ER18" s="1338">
        <v>1600</v>
      </c>
      <c r="ES18" s="380"/>
      <c r="ET18" s="1520"/>
      <c r="EU18" s="1520"/>
      <c r="EV18" s="530" t="s">
        <v>1096</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1076</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678</v>
      </c>
      <c r="BZ19" s="170"/>
      <c r="CA19" s="170"/>
      <c r="CB19" s="170"/>
      <c r="CC19" s="170"/>
      <c r="CD19" s="170"/>
      <c r="CE19" s="170"/>
      <c r="CF19" s="170"/>
      <c r="CG19" s="170"/>
      <c r="CH19" s="170"/>
      <c r="CI19" s="170" t="s">
        <v>656</v>
      </c>
      <c r="CJ19" s="170" t="s">
        <v>377</v>
      </c>
      <c r="CK19" s="170" t="s">
        <v>613</v>
      </c>
      <c r="CL19" s="170" t="s">
        <v>614</v>
      </c>
      <c r="CM19" s="170" t="s">
        <v>615</v>
      </c>
      <c r="CN19" s="170">
        <v>1262</v>
      </c>
      <c r="CO19" s="170">
        <v>700</v>
      </c>
      <c r="CP19" s="170">
        <v>1262</v>
      </c>
      <c r="CQ19" s="170" t="s">
        <v>982</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816</v>
      </c>
      <c r="DG19" s="530" t="s">
        <v>586</v>
      </c>
      <c r="DH19" s="170" t="s">
        <v>557</v>
      </c>
      <c r="DI19" s="170" t="s">
        <v>558</v>
      </c>
      <c r="DJ19" s="170" t="s">
        <v>559</v>
      </c>
      <c r="DK19" s="170"/>
      <c r="DL19" s="170"/>
      <c r="DM19" s="168"/>
      <c r="DN19" s="168"/>
      <c r="DO19" s="168"/>
      <c r="DP19" s="168"/>
      <c r="DQ19" s="168"/>
      <c r="DR19" s="168"/>
      <c r="DS19" s="168"/>
      <c r="DT19" s="168"/>
      <c r="DU19" s="168" t="s">
        <v>798</v>
      </c>
      <c r="DV19" s="168"/>
      <c r="DW19" s="168"/>
      <c r="DX19" s="168"/>
      <c r="DY19" s="168"/>
      <c r="DZ19" s="168"/>
      <c r="EA19" s="168"/>
      <c r="EB19" s="168"/>
      <c r="EC19" s="168"/>
      <c r="ED19" s="168"/>
      <c r="EE19" s="168"/>
      <c r="EF19" s="168"/>
      <c r="EG19" s="168"/>
      <c r="EH19" s="168"/>
      <c r="EI19" s="168"/>
      <c r="EJ19" s="168"/>
      <c r="EK19" s="168"/>
      <c r="EL19" s="168"/>
      <c r="EM19" s="168"/>
      <c r="EN19" s="168"/>
      <c r="EO19" s="1317" t="s">
        <v>1006</v>
      </c>
      <c r="EP19" s="1317" t="s">
        <v>1007</v>
      </c>
      <c r="EQ19" s="1317" t="s">
        <v>1008</v>
      </c>
      <c r="ER19" s="1339">
        <v>875</v>
      </c>
      <c r="ES19" s="1332"/>
      <c r="ET19" s="1520"/>
      <c r="EU19" s="1520"/>
      <c r="EV19" s="530" t="s">
        <v>1098</v>
      </c>
      <c r="EW19" s="168"/>
      <c r="EX19" s="168"/>
      <c r="EY19" s="168" t="s">
        <v>1152</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693</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1136</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799</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1099</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938</v>
      </c>
      <c r="J21" s="350" t="s">
        <v>939</v>
      </c>
      <c r="K21" s="350" t="s">
        <v>940</v>
      </c>
      <c r="L21" s="350" t="s">
        <v>941</v>
      </c>
      <c r="M21" s="350" t="s">
        <v>942</v>
      </c>
      <c r="N21" s="350" t="s">
        <v>943</v>
      </c>
      <c r="O21" s="350" t="s">
        <v>944</v>
      </c>
      <c r="P21" s="350" t="s">
        <v>945</v>
      </c>
      <c r="Q21" s="350" t="s">
        <v>946</v>
      </c>
      <c r="R21" s="350" t="s">
        <v>947</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950</v>
      </c>
      <c r="AT21" s="778"/>
      <c r="AU21" s="777" t="s">
        <v>948</v>
      </c>
      <c r="AV21" s="778"/>
      <c r="AW21" s="777" t="s">
        <v>949</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951</v>
      </c>
      <c r="BW21" s="790" t="s">
        <v>396</v>
      </c>
      <c r="BX21" s="790" t="s">
        <v>397</v>
      </c>
      <c r="BY21" s="1538" t="s">
        <v>978</v>
      </c>
      <c r="BZ21" s="1538"/>
      <c r="CA21" s="790"/>
      <c r="CB21" s="790"/>
      <c r="CC21" s="790"/>
      <c r="CD21" s="790"/>
      <c r="CE21" s="790"/>
      <c r="CF21" s="790"/>
      <c r="CG21" s="790"/>
      <c r="CH21" s="790"/>
      <c r="CI21" s="790" t="s">
        <v>952</v>
      </c>
      <c r="CJ21" s="790" t="s">
        <v>953</v>
      </c>
      <c r="CK21" s="790" t="s">
        <v>954</v>
      </c>
      <c r="CL21" s="790" t="s">
        <v>955</v>
      </c>
      <c r="CM21" s="790" t="s">
        <v>956</v>
      </c>
      <c r="CN21" s="1538" t="s">
        <v>412</v>
      </c>
      <c r="CO21" s="790">
        <v>450</v>
      </c>
      <c r="CP21" s="1538" t="s">
        <v>412</v>
      </c>
      <c r="CQ21" s="1538" t="s">
        <v>679</v>
      </c>
      <c r="CR21" s="1538"/>
      <c r="CS21" s="790"/>
      <c r="CT21" s="530"/>
      <c r="CU21" s="530"/>
      <c r="CV21" s="530" t="s">
        <v>406</v>
      </c>
      <c r="CW21" s="530" t="s">
        <v>439</v>
      </c>
      <c r="CX21" s="530" t="s">
        <v>447</v>
      </c>
      <c r="CY21" s="530"/>
      <c r="CZ21" s="530"/>
      <c r="DA21" s="530"/>
      <c r="DB21" s="363" t="s">
        <v>950</v>
      </c>
      <c r="DC21" s="363" t="s">
        <v>207</v>
      </c>
      <c r="DD21" s="530"/>
      <c r="DE21" s="364" t="s">
        <v>957</v>
      </c>
      <c r="DF21" s="364" t="s">
        <v>977</v>
      </c>
      <c r="DG21" s="530"/>
      <c r="DH21" s="790" t="s">
        <v>560</v>
      </c>
      <c r="DI21" s="790" t="s">
        <v>561</v>
      </c>
      <c r="DJ21" s="790" t="s">
        <v>562</v>
      </c>
      <c r="DK21" s="790"/>
      <c r="DL21" s="790"/>
      <c r="DM21" s="786"/>
      <c r="DN21" s="786"/>
      <c r="DO21" s="786"/>
      <c r="DP21" s="786"/>
      <c r="DQ21" s="786"/>
      <c r="DR21" s="786"/>
      <c r="DS21" s="786"/>
      <c r="DT21" s="786"/>
      <c r="DU21" s="786" t="s">
        <v>800</v>
      </c>
      <c r="DV21" s="786"/>
      <c r="DW21" s="786"/>
      <c r="DX21" s="786"/>
      <c r="DY21" s="786"/>
      <c r="DZ21" s="786"/>
      <c r="EA21" s="786"/>
      <c r="EB21" s="786"/>
      <c r="EC21" s="786"/>
      <c r="ED21" s="786" t="s">
        <v>71</v>
      </c>
      <c r="EE21" s="787"/>
      <c r="EF21" s="786">
        <v>600</v>
      </c>
      <c r="EG21" s="786">
        <v>400</v>
      </c>
      <c r="EH21" s="786">
        <v>450</v>
      </c>
      <c r="EI21" s="786"/>
      <c r="EJ21" s="786" t="s">
        <v>814</v>
      </c>
      <c r="EK21" s="786"/>
      <c r="EL21" s="786"/>
      <c r="EM21" s="786"/>
      <c r="EN21" s="786"/>
      <c r="EO21" s="840" t="s">
        <v>1018</v>
      </c>
      <c r="EP21" s="840" t="s">
        <v>1019</v>
      </c>
      <c r="EQ21" s="840" t="s">
        <v>1020</v>
      </c>
      <c r="ER21" s="1539" t="s">
        <v>1001</v>
      </c>
      <c r="ES21" s="1335"/>
      <c r="ET21" s="1528"/>
      <c r="EU21" s="1528"/>
      <c r="EV21" s="530" t="s">
        <v>1100</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876</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800</v>
      </c>
      <c r="DV22" s="786"/>
      <c r="DW22" s="786"/>
      <c r="DX22" s="786"/>
      <c r="DY22" s="786"/>
      <c r="DZ22" s="786"/>
      <c r="EA22" s="786"/>
      <c r="EB22" s="786"/>
      <c r="EC22" s="786"/>
      <c r="ED22" s="786"/>
      <c r="EE22" s="786"/>
      <c r="EF22" s="786"/>
      <c r="EG22" s="786"/>
      <c r="EH22" s="786"/>
      <c r="EI22" s="786"/>
      <c r="EJ22" s="1541" t="s">
        <v>883</v>
      </c>
      <c r="EK22" s="786"/>
      <c r="EL22" s="786"/>
      <c r="EM22" s="786"/>
      <c r="EN22" s="786"/>
      <c r="EO22" s="363" t="s">
        <v>1009</v>
      </c>
      <c r="EP22" s="363" t="s">
        <v>1010</v>
      </c>
      <c r="EQ22" s="363" t="s">
        <v>1011</v>
      </c>
      <c r="ER22" s="1379">
        <v>2400</v>
      </c>
      <c r="ES22" s="1335"/>
      <c r="ET22" s="1528"/>
      <c r="EU22" s="1528"/>
      <c r="EV22" s="530"/>
      <c r="EW22" s="168" t="s">
        <v>1107</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699</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690</v>
      </c>
      <c r="BZ25" s="170"/>
      <c r="CA25" s="170"/>
      <c r="CB25" s="170"/>
      <c r="CC25" s="170"/>
      <c r="CD25" s="170"/>
      <c r="CE25" s="170"/>
      <c r="CF25" s="170"/>
      <c r="CG25" s="170"/>
      <c r="CH25" s="170"/>
      <c r="CI25" s="170" t="s">
        <v>665</v>
      </c>
      <c r="CJ25" s="170" t="s">
        <v>380</v>
      </c>
      <c r="CK25" s="170" t="s">
        <v>616</v>
      </c>
      <c r="CL25" s="170" t="s">
        <v>617</v>
      </c>
      <c r="CM25" s="170" t="s">
        <v>618</v>
      </c>
      <c r="CN25" s="170">
        <v>1262</v>
      </c>
      <c r="CO25" s="170">
        <v>600</v>
      </c>
      <c r="CP25" s="170">
        <v>1262</v>
      </c>
      <c r="CQ25" s="170" t="s">
        <v>691</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700</v>
      </c>
      <c r="DG25" s="530" t="s">
        <v>587</v>
      </c>
      <c r="DH25" s="170" t="s">
        <v>563</v>
      </c>
      <c r="DI25" s="170" t="s">
        <v>564</v>
      </c>
      <c r="DJ25" s="170" t="s">
        <v>565</v>
      </c>
      <c r="DK25" s="170"/>
      <c r="DL25" s="170"/>
      <c r="DM25" s="170" t="s">
        <v>731</v>
      </c>
      <c r="DN25" s="170" t="s">
        <v>732</v>
      </c>
      <c r="DO25" s="170" t="s">
        <v>733</v>
      </c>
      <c r="DP25" s="170"/>
      <c r="DQ25" s="170" t="s">
        <v>734</v>
      </c>
      <c r="DR25" s="170" t="s">
        <v>735</v>
      </c>
      <c r="DS25" s="170"/>
      <c r="DT25" s="170" t="s">
        <v>736</v>
      </c>
      <c r="DU25" s="170" t="s">
        <v>737</v>
      </c>
      <c r="DV25" s="170" t="s">
        <v>738</v>
      </c>
      <c r="DW25" s="170" t="s">
        <v>739</v>
      </c>
      <c r="DX25" s="170" t="s">
        <v>740</v>
      </c>
      <c r="DY25" s="170" t="s">
        <v>741</v>
      </c>
      <c r="DZ25" s="170" t="s">
        <v>742</v>
      </c>
      <c r="EA25" s="170" t="s">
        <v>743</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1101</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959</v>
      </c>
      <c r="J28" s="26" t="s">
        <v>960</v>
      </c>
      <c r="K28" s="26" t="s">
        <v>961</v>
      </c>
      <c r="L28" s="26" t="s">
        <v>962</v>
      </c>
      <c r="M28" s="26" t="s">
        <v>963</v>
      </c>
      <c r="N28" s="26" t="s">
        <v>972</v>
      </c>
      <c r="O28" s="26" t="s">
        <v>964</v>
      </c>
      <c r="P28" s="26" t="s">
        <v>1123</v>
      </c>
      <c r="Q28" s="26" t="s">
        <v>1124</v>
      </c>
      <c r="R28" s="26" t="s">
        <v>1125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973</v>
      </c>
      <c r="AT28" s="27"/>
      <c r="AU28" s="52" t="s">
        <v>974</v>
      </c>
      <c r="AV28" s="27"/>
      <c r="AW28" s="52" t="s">
        <v>975</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965</v>
      </c>
      <c r="BW28" s="170" t="s">
        <v>958</v>
      </c>
      <c r="BX28" s="170" t="s">
        <v>966</v>
      </c>
      <c r="BY28" s="186" t="s">
        <v>1118</v>
      </c>
      <c r="BZ28" s="186"/>
      <c r="CA28" s="170" t="s">
        <v>367</v>
      </c>
      <c r="CB28" s="170" t="s">
        <v>368</v>
      </c>
      <c r="CC28" s="170" t="s">
        <v>369</v>
      </c>
      <c r="CD28" s="170" t="s">
        <v>370</v>
      </c>
      <c r="CE28" s="170"/>
      <c r="CF28" s="170"/>
      <c r="CG28" s="170"/>
      <c r="CH28" s="170"/>
      <c r="CI28" s="170" t="s">
        <v>967</v>
      </c>
      <c r="CJ28" s="170" t="s">
        <v>968</v>
      </c>
      <c r="CK28" s="170" t="s">
        <v>619</v>
      </c>
      <c r="CL28" s="170" t="s">
        <v>620</v>
      </c>
      <c r="CM28" s="170" t="s">
        <v>621</v>
      </c>
      <c r="CN28" s="186" t="s">
        <v>411</v>
      </c>
      <c r="CO28" s="170">
        <v>850</v>
      </c>
      <c r="CP28" s="186" t="s">
        <v>411</v>
      </c>
      <c r="CQ28" s="170" t="s">
        <v>697</v>
      </c>
      <c r="CR28" s="170"/>
      <c r="CS28" s="170"/>
      <c r="CT28" s="169"/>
      <c r="CU28" s="169"/>
      <c r="CV28" s="169" t="s">
        <v>583</v>
      </c>
      <c r="CW28" s="169" t="s">
        <v>969</v>
      </c>
      <c r="CX28" s="169" t="s">
        <v>449</v>
      </c>
      <c r="CY28" s="169"/>
      <c r="CZ28" s="169"/>
      <c r="DA28" s="169"/>
      <c r="DB28" s="160" t="s">
        <v>973</v>
      </c>
      <c r="DC28" s="356"/>
      <c r="DD28" s="169"/>
      <c r="DE28" s="364" t="s">
        <v>970</v>
      </c>
      <c r="DF28" s="350" t="s">
        <v>976</v>
      </c>
      <c r="DG28" s="169"/>
      <c r="DH28" s="170" t="s">
        <v>566</v>
      </c>
      <c r="DI28" s="170" t="s">
        <v>567</v>
      </c>
      <c r="DJ28" s="170" t="s">
        <v>568</v>
      </c>
      <c r="DK28" s="170"/>
      <c r="DL28" s="170"/>
      <c r="DM28" s="654" t="s">
        <v>774</v>
      </c>
      <c r="DN28" s="170"/>
      <c r="DO28" s="170"/>
      <c r="DP28" s="170"/>
      <c r="DQ28" s="170"/>
      <c r="DR28" s="170"/>
      <c r="DS28" s="170"/>
      <c r="DT28" s="170"/>
      <c r="DU28" s="170" t="s">
        <v>773</v>
      </c>
      <c r="DV28" s="170"/>
      <c r="DW28" s="170"/>
      <c r="DX28" s="170"/>
      <c r="DY28" s="170"/>
      <c r="DZ28" s="170"/>
      <c r="EA28" s="170"/>
      <c r="EB28" s="170"/>
      <c r="EC28" s="170"/>
      <c r="ED28" s="170" t="s">
        <v>971</v>
      </c>
      <c r="EE28" s="170"/>
      <c r="EF28" s="170"/>
      <c r="EG28" s="170"/>
      <c r="EH28" s="170"/>
      <c r="EI28" s="170"/>
      <c r="EJ28" s="170"/>
      <c r="EK28" s="170"/>
      <c r="EL28" s="170"/>
      <c r="EM28" s="170"/>
      <c r="EN28" s="170"/>
      <c r="EO28" s="1319" t="s">
        <v>997</v>
      </c>
      <c r="EP28" s="1319" t="s">
        <v>998</v>
      </c>
      <c r="EQ28" s="1319" t="s">
        <v>999</v>
      </c>
      <c r="ER28" s="1340" t="s">
        <v>1000</v>
      </c>
      <c r="ES28" s="1336"/>
      <c r="ET28" s="1520"/>
      <c r="EU28" s="1520"/>
      <c r="EV28" s="530" t="s">
        <v>1102</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695</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804</v>
      </c>
      <c r="BZ29" s="170"/>
      <c r="CA29" s="170"/>
      <c r="CB29" s="170"/>
      <c r="CC29" s="170"/>
      <c r="CD29" s="170"/>
      <c r="CE29" s="170"/>
      <c r="CF29" s="170"/>
      <c r="CG29" s="170"/>
      <c r="CH29" s="170"/>
      <c r="CI29" s="170"/>
      <c r="CJ29" s="170"/>
      <c r="CK29" s="170"/>
      <c r="CL29" s="170"/>
      <c r="CM29" s="170"/>
      <c r="CN29" s="170">
        <v>1292</v>
      </c>
      <c r="CO29" s="170">
        <v>850</v>
      </c>
      <c r="CP29" s="170">
        <v>1292</v>
      </c>
      <c r="CQ29" s="170" t="s">
        <v>805</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773</v>
      </c>
      <c r="DV29" s="170"/>
      <c r="DW29" s="170"/>
      <c r="DX29" s="170"/>
      <c r="DY29" s="170"/>
      <c r="DZ29" s="170"/>
      <c r="EA29" s="170"/>
      <c r="EB29" s="170"/>
      <c r="EC29" s="170"/>
      <c r="ED29" s="170"/>
      <c r="EE29" s="170"/>
      <c r="EF29" s="170"/>
      <c r="EG29" s="170"/>
      <c r="EH29" s="170"/>
      <c r="EI29" s="170"/>
      <c r="EJ29" s="170"/>
      <c r="EK29" s="170"/>
      <c r="EL29" s="170"/>
      <c r="EM29" s="170"/>
      <c r="EN29" s="170"/>
      <c r="EO29" s="1317" t="s">
        <v>1021</v>
      </c>
      <c r="EP29" s="1317" t="s">
        <v>1022</v>
      </c>
      <c r="EQ29" s="1317" t="s">
        <v>1023</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uLuG9m3ViDeCBz5wzFJKzRL2lz2vuEHuB9pK6kmXb70pVF90DVUudqDy/FwcvI2Crj+WPrOQb+hLgvXlNtQ8Q==" saltValue="tZPy0f5+SxX6PRNLX39o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ALCOBENDAS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3 al 3</v>
      </c>
      <c r="D5" s="1882" t="s">
        <v>487</v>
      </c>
      <c r="E5" s="1882" t="s">
        <v>744</v>
      </c>
      <c r="F5" s="1893" t="s">
        <v>523</v>
      </c>
      <c r="G5" s="1882" t="s">
        <v>173</v>
      </c>
      <c r="H5" s="1882" t="s">
        <v>777</v>
      </c>
      <c r="I5" s="1882" t="s">
        <v>745</v>
      </c>
      <c r="J5" s="1882" t="s">
        <v>862</v>
      </c>
      <c r="K5" s="1882" t="s">
        <v>863</v>
      </c>
      <c r="L5" s="1882" t="s">
        <v>746</v>
      </c>
      <c r="M5" s="1882" t="s">
        <v>701</v>
      </c>
      <c r="N5" s="1882" t="s">
        <v>864</v>
      </c>
      <c r="O5" s="1885" t="s">
        <v>775</v>
      </c>
      <c r="P5" s="1882" t="s">
        <v>884</v>
      </c>
      <c r="Q5" s="1882" t="s">
        <v>878</v>
      </c>
      <c r="R5" s="1882" t="s">
        <v>225</v>
      </c>
      <c r="S5" s="1888" t="s">
        <v>874</v>
      </c>
      <c r="T5" s="1888" t="s">
        <v>877</v>
      </c>
      <c r="U5" s="1882" t="s">
        <v>778</v>
      </c>
      <c r="V5" s="1888" t="s">
        <v>747</v>
      </c>
      <c r="W5" s="1882" t="s">
        <v>1030</v>
      </c>
      <c r="X5" s="1882" t="s">
        <v>1031</v>
      </c>
      <c r="Y5" s="1902" t="s">
        <v>865</v>
      </c>
      <c r="Z5" s="1899" t="s">
        <v>803</v>
      </c>
      <c r="AA5" s="1917" t="s">
        <v>748</v>
      </c>
      <c r="AB5" s="1899" t="s">
        <v>749</v>
      </c>
      <c r="AC5" s="1899" t="s">
        <v>750</v>
      </c>
      <c r="AD5" s="1920" t="s">
        <v>866</v>
      </c>
      <c r="AE5" s="1920" t="s">
        <v>1058</v>
      </c>
      <c r="AF5" s="1882" t="s">
        <v>879</v>
      </c>
      <c r="AG5" s="1882" t="s">
        <v>702</v>
      </c>
      <c r="AH5" s="1882" t="s">
        <v>867</v>
      </c>
      <c r="AI5" s="1882" t="s">
        <v>236</v>
      </c>
      <c r="AJ5" s="1882" t="s">
        <v>934</v>
      </c>
      <c r="AK5" s="1882" t="s">
        <v>703</v>
      </c>
      <c r="AL5" s="1882" t="s">
        <v>704</v>
      </c>
      <c r="AM5" s="1882" t="s">
        <v>885</v>
      </c>
      <c r="AN5" s="1882" t="s">
        <v>705</v>
      </c>
      <c r="AO5" s="1882" t="s">
        <v>706</v>
      </c>
      <c r="AP5" s="1882" t="s">
        <v>707</v>
      </c>
      <c r="AQ5" s="1882" t="s">
        <v>708</v>
      </c>
      <c r="AR5" s="1882" t="s">
        <v>868</v>
      </c>
      <c r="AS5" s="1882" t="s">
        <v>239</v>
      </c>
      <c r="AT5" s="1905" t="s">
        <v>237</v>
      </c>
      <c r="AU5" s="1882" t="s">
        <v>880</v>
      </c>
      <c r="AV5" s="1908" t="s">
        <v>881</v>
      </c>
      <c r="AW5" s="1911" t="s">
        <v>710</v>
      </c>
      <c r="AX5" s="1882" t="s">
        <v>711</v>
      </c>
      <c r="AY5" s="1882" t="s">
        <v>801</v>
      </c>
      <c r="AZ5" s="1914" t="s">
        <v>802</v>
      </c>
      <c r="BA5" s="1882" t="s">
        <v>752</v>
      </c>
      <c r="BB5" s="1908" t="s">
        <v>753</v>
      </c>
      <c r="BC5" s="1911" t="s">
        <v>240</v>
      </c>
      <c r="BD5" s="1882" t="s">
        <v>754</v>
      </c>
      <c r="BE5" s="1882" t="s">
        <v>318</v>
      </c>
      <c r="BF5" s="1882" t="s">
        <v>319</v>
      </c>
      <c r="BG5" s="1882" t="s">
        <v>320</v>
      </c>
      <c r="BH5" s="1882" t="s">
        <v>755</v>
      </c>
      <c r="BI5" s="1882" t="s">
        <v>321</v>
      </c>
      <c r="BJ5" s="1882" t="s">
        <v>756</v>
      </c>
      <c r="BK5" s="1882" t="s">
        <v>771</v>
      </c>
      <c r="BL5" s="1882" t="s">
        <v>757</v>
      </c>
      <c r="BM5" s="1882" t="s">
        <v>758</v>
      </c>
      <c r="BN5" s="1882" t="s">
        <v>786</v>
      </c>
      <c r="BO5" s="1882" t="s">
        <v>779</v>
      </c>
      <c r="BP5" s="1882" t="s">
        <v>1104</v>
      </c>
      <c r="BQ5" s="1882" t="s">
        <v>1108</v>
      </c>
      <c r="BR5" s="1882" t="s">
        <v>1110</v>
      </c>
      <c r="BS5" s="1882" t="s">
        <v>780</v>
      </c>
      <c r="BT5" s="1882" t="s">
        <v>759</v>
      </c>
      <c r="BU5" s="1882" t="s">
        <v>709</v>
      </c>
      <c r="BV5" s="1896" t="s">
        <v>1032</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317</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299</v>
      </c>
      <c r="O9" s="549"/>
      <c r="P9" s="549"/>
      <c r="Q9" s="547">
        <f>IF(ISNUMBER(Datos!P9),Datos!P9,0)</f>
        <v>568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247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234</v>
      </c>
      <c r="AI9" s="549" t="str">
        <f>IF(ISNUMBER(Datos!CD9),Datos!CD9,"-")</f>
        <v>-</v>
      </c>
      <c r="AJ9" s="549" t="str">
        <f>IF(ISNUMBER(Datos!EN9),Datos!EN9," - ")</f>
        <v xml:space="preserve"> - </v>
      </c>
      <c r="AK9" s="549"/>
      <c r="AL9" s="550"/>
      <c r="AM9" s="766">
        <f>IF(ISNUMBER(Datos!R9),Datos!R9," - ")</f>
        <v>9346</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657</v>
      </c>
      <c r="BD9" s="693">
        <f>IF(ISNUMBER(Datos!N9),Datos!N9," - ")</f>
        <v>1168</v>
      </c>
      <c r="BE9" s="693" t="str">
        <f>IF(ISNUMBER(Datos!BW9),Datos!BW9," - ")</f>
        <v xml:space="preserve"> - </v>
      </c>
      <c r="BF9" s="762" t="str">
        <f>IF(ISNUMBER(Datos!BX9),Datos!BX9," - ")</f>
        <v xml:space="preserve"> - </v>
      </c>
      <c r="BG9" s="763">
        <f>IF(ISNUMBER(IF(J_V="SI",Datos!K9/Datos!J9,(Datos!K9+Datos!AA9)/(Datos!J9+Datos!Z9))),IF(J_V="SI",Datos!K9/Datos!J9,(Datos!K9+Datos!AA9)/(Datos!J9+Datos!Z9))," - ")</f>
        <v>0.53037587412587417</v>
      </c>
      <c r="BH9" s="764">
        <f>IF(ISNUMBER(((IF(J_V="SI",Datos!L9/Datos!K9,(Datos!L9+Datos!AB9)/(Datos!K9+Datos!AA9)))*11)/factor_trimestre),((IF(J_V="SI",Datos!L9/Datos!K9,(Datos!L9+Datos!AB9)/(Datos!K9+Datos!AA9)))*11)/factor_trimestre," - ")</f>
        <v>12.211784095591264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3.5567867036011079E-2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72</v>
      </c>
      <c r="G10" s="543">
        <f>IF(ISNUMBER(Datos!I10),Datos!I10," - ")</f>
        <v>72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3</v>
      </c>
      <c r="AD10" s="549"/>
      <c r="AE10" s="563"/>
      <c r="AF10" s="551">
        <f>IF(ISNUMBER(Datos!L10),Datos!L10,"-")</f>
        <v>69</v>
      </c>
      <c r="AG10" s="549"/>
      <c r="AH10" s="549"/>
      <c r="AI10" s="549"/>
      <c r="AJ10" s="549"/>
      <c r="AK10" s="549"/>
      <c r="AL10" s="550"/>
      <c r="AM10" s="766">
        <f>IF(ISNUMBER(Datos!R10),Datos!R10," - ")</f>
        <v>52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15</v>
      </c>
      <c r="BE10" s="693" t="str">
        <f>IF(ISNUMBER(Datos!BW10),Datos!BW10," - ")</f>
        <v xml:space="preserve"> - </v>
      </c>
      <c r="BF10" s="762" t="str">
        <f>IF(ISNUMBER(Datos!BX10),Datos!BX10," - ")</f>
        <v xml:space="preserve"> - </v>
      </c>
      <c r="BG10" s="763">
        <f>IF(ISNUMBER(Datos!K10/Datos!J10),Datos!K10/Datos!J10," - ")</f>
        <v>1.1764705882352942</v>
      </c>
      <c r="BH10" s="764">
        <f>IF(ISNUMBER(((Datos!L10/Datos!K10)*11)/factor_trimestre),((Datos!L10/Datos!K10)*11)/factor_trimestre," - ")</f>
        <v>6.9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60</v>
      </c>
      <c r="O11" s="549"/>
      <c r="P11" s="549"/>
      <c r="Q11" s="547">
        <f>IF(ISNUMBER(Datos!P11),Datos!P11,0)</f>
        <v>6</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11</v>
      </c>
      <c r="AD11" s="549"/>
      <c r="AE11" s="563"/>
      <c r="AF11" s="551" t="str">
        <f>IF(ISNUMBER(IF(J_V="SI",Datos!L11,Datos!L11+Datos!AB11)-IF(Monitorios="SI",Datos!CD11,0)),
                          IF(J_V="SI",Datos!L11,Datos!L11+Datos!AB11)-IF(Monitorios="SI",Datos!CD11,0),
                          " - ")</f>
        <v xml:space="preserve"> - </v>
      </c>
      <c r="AG11" s="549"/>
      <c r="AH11" s="549">
        <f>IF(ISNUMBER(Datos!AB11),Datos!AB11,"-")</f>
        <v>54</v>
      </c>
      <c r="AI11" s="549"/>
      <c r="AJ11" s="549"/>
      <c r="AK11" s="549"/>
      <c r="AL11" s="550"/>
      <c r="AM11" s="766">
        <f>IF(ISNUMBER(Datos!R11),Datos!R11," - ")</f>
        <v>125</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90</v>
      </c>
      <c r="BD11" s="693">
        <f>IF(ISNUMBER(Datos!N11),Datos!N11," - ")</f>
        <v>108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0.84668989547038331</v>
      </c>
      <c r="BH11" s="764">
        <f>IF(ISNUMBER(((IF(J_V="SI",Datos!L11/Datos!K11,(Datos!L11+Datos!AB11)/(Datos!K11+Datos!AA11)))*11)/factor_trimestre),((IF(J_V="SI",Datos!L11/Datos!K11,(Datos!L11+Datos!AB11)/(Datos!K11+Datos!AA11)))*11)/factor_trimestre," - ")</f>
        <v>5.8683127572016467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-3.8461538461538464E-2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1</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-0.25416666666666665</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72</v>
      </c>
      <c r="G14" s="1197">
        <f t="shared" si="1"/>
        <v>72</v>
      </c>
      <c r="H14" s="1198">
        <f t="shared" si="1"/>
        <v>0</v>
      </c>
      <c r="I14" s="1197">
        <f t="shared" si="1"/>
        <v>0</v>
      </c>
      <c r="J14" s="1164">
        <f t="shared" si="1"/>
        <v>0</v>
      </c>
      <c r="K14" s="1164">
        <f t="shared" si="1"/>
        <v>0</v>
      </c>
      <c r="L14" s="1198">
        <f t="shared" si="1"/>
        <v>0</v>
      </c>
      <c r="M14" s="1198">
        <f t="shared" si="1"/>
        <v>0</v>
      </c>
      <c r="N14" s="1198">
        <f t="shared" si="1"/>
        <v>359</v>
      </c>
      <c r="O14" s="1199">
        <f t="shared" si="1"/>
        <v>0</v>
      </c>
      <c r="P14" s="1199">
        <f t="shared" si="1"/>
        <v>0</v>
      </c>
      <c r="Q14" s="1198">
        <f t="shared" si="1"/>
        <v>579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324</v>
      </c>
      <c r="AD14" s="1198">
        <f t="shared" si="2"/>
        <v>0</v>
      </c>
      <c r="AE14" s="1198">
        <f t="shared" si="2"/>
        <v>0</v>
      </c>
      <c r="AF14" s="1198">
        <f t="shared" si="2"/>
        <v>69</v>
      </c>
      <c r="AG14" s="1198">
        <f t="shared" si="2"/>
        <v>0</v>
      </c>
      <c r="AH14" s="1198">
        <f t="shared" si="2"/>
        <v>288</v>
      </c>
      <c r="AI14" s="1198">
        <f t="shared" si="2"/>
        <v>0</v>
      </c>
      <c r="AJ14" s="1198">
        <f t="shared" si="2"/>
        <v>0</v>
      </c>
      <c r="AK14" s="1198">
        <f t="shared" si="2"/>
        <v>0</v>
      </c>
      <c r="AL14" s="1198">
        <f t="shared" si="2"/>
        <v>0</v>
      </c>
      <c r="AM14" s="1198">
        <f t="shared" si="2"/>
        <v>9702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752</v>
      </c>
      <c r="BD14" s="1198">
        <f t="shared" si="2"/>
        <v>1292</v>
      </c>
      <c r="BE14" s="1198">
        <f t="shared" si="2"/>
        <v>0</v>
      </c>
      <c r="BF14" s="1198">
        <f t="shared" si="2"/>
        <v>0</v>
      </c>
      <c r="BG14" s="1198">
        <f>IF(ISNUMBER(Datos!K14/Datos!J14),Datos!K14/Datos!J14," - ")</f>
        <v>0.52001769520017693</v>
      </c>
      <c r="BH14" s="1202">
        <f>IF(ISNUMBER(((Datos!L14/Datos!K14)*11)/factor_trimestre),((Datos!L14/Datos!K14)*11)/factor_trimestre," - ")</f>
        <v>13.030199914929817</v>
      </c>
      <c r="BI14" s="1198">
        <f>IF(ISNUMBER('Resol  Asuntos'!D14/NºAsuntos!G14),'Resol  Asuntos'!D14/NºAsuntos!G14," - ")</f>
        <v>0.27955390334572489</v>
      </c>
      <c r="BJ14" s="1198" t="str">
        <f>IF(ISNUMBER(Datos!CI14/Datos!CJ14),Datos!CI14/Datos!CJ14," - ")</f>
        <v xml:space="preserve"> - </v>
      </c>
      <c r="BK14" s="1198">
        <f>SUBTOTAL(9,BK8:BK13)</f>
        <v>0</v>
      </c>
      <c r="BL14" s="1198">
        <f>IF(ISNUMBER((I14-AB14+L14)/(F14)),(I14-AB14+L14)/(F14)," - ")</f>
        <v>-0.27777777777777779</v>
      </c>
      <c r="BM14" s="1203">
        <f>SUBTOTAL(9,BM9:BM13)</f>
        <v>-0.25706033809219403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1750</v>
      </c>
      <c r="G16" s="743">
        <f>IF(ISNUMBER(IF(D_I="SI",Datos!I16,Datos!I16+Datos!AC16)),IF(D_I="SI",Datos!I16,Datos!I16+Datos!AC16)," - ")</f>
        <v>1721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2601</v>
      </c>
      <c r="AC16" s="240">
        <f>IF(ISNUMBER(Datos!Q16),Datos!Q16," - ")</f>
        <v>154</v>
      </c>
      <c r="AD16" s="374"/>
      <c r="AE16" s="562"/>
      <c r="AF16" s="741">
        <f>IF(ISNUMBER(IF(D_I="SI",Datos!L16,Datos!L16+Datos!AF16)),IF(D_I="SI",Datos!L16,Datos!L16+Datos!AF16)," - ")</f>
        <v>1878</v>
      </c>
      <c r="AG16" s="374"/>
      <c r="AH16" s="374"/>
      <c r="AI16" s="374"/>
      <c r="AJ16" s="549"/>
      <c r="AK16" s="374"/>
      <c r="AL16" s="545"/>
      <c r="AM16" s="375">
        <f>IF(ISNUMBER(Datos!R16),Datos!R16," - ")</f>
        <v>388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260</v>
      </c>
      <c r="BD16" s="243">
        <f>IF(ISNUMBER(Datos!N16),Datos!N16," - ")</f>
        <v>1541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0.95309637229754485</v>
      </c>
      <c r="BH16" s="764">
        <f>IF(ISNUMBER(((IF(D_I="SI",Datos!L16/Datos!K16,(Datos!L16+Datos!AF16)/(Datos!K16+Datos!AE16)))*11)/factor_trimestre),((IF(D_I="SI",Datos!L16/Datos!K16,(Datos!L16+Datos!AF16)/(Datos!K16+Datos!AE16)))*11)/factor_trimestre," - ")</f>
        <v>1.4440599769319493</v>
      </c>
      <c r="BI16" s="266">
        <f>IF(ISNUMBER('Resol  Asuntos'!D16/NºAsuntos!G16),'Resol  Asuntos'!D16/NºAsuntos!G16," - ")</f>
        <v>9.9961553248750487E-2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507</v>
      </c>
      <c r="C17" s="749" t="str">
        <f>Datos!A17</f>
        <v xml:space="preserve">Jdos. 1ª Instª. e Instr.                        </v>
      </c>
      <c r="D17" s="750"/>
      <c r="E17" s="1555">
        <f>IF(ISNUMBER(Datos!AQ17),Datos!AQ17," - ")</f>
        <v>0</v>
      </c>
      <c r="F17" s="740">
        <f>IF(ISNUMBER(AF17+AB17-Datos!J17-L17),AF17+AB17-Datos!J17-L17," - ")</f>
        <v>1</v>
      </c>
      <c r="G17" s="743">
        <f>IF(ISNUMBER(IF(D_I="SI",Datos!I17,Datos!I17+Datos!AC17)),IF(D_I="SI",Datos!I17,Datos!I17+Datos!AC17)," - ")</f>
        <v>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v>
      </c>
      <c r="AG17" s="374"/>
      <c r="AH17" s="374"/>
      <c r="AI17" s="374"/>
      <c r="AJ17" s="549"/>
      <c r="AK17" s="374"/>
      <c r="AL17" s="545"/>
      <c r="AM17" s="375">
        <f>IF(ISNUMBER(Datos!R17),Datos!R17," - ")</f>
        <v>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215</v>
      </c>
      <c r="AC18" s="547">
        <f>IF(ISNUMBER(Datos!Q18),Datos!Q18," - ")</f>
        <v>1</v>
      </c>
      <c r="AD18" s="549"/>
      <c r="AE18" s="562"/>
      <c r="AF18" s="551">
        <f>IF(ISNUMBER(Datos!L18),Datos!L18,"-")</f>
        <v>208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128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0.7992565055762082</v>
      </c>
      <c r="BH18" s="764">
        <f>IF(ISNUMBER(((IF(D_I="SI",Datos!L18/Datos!K18,(Datos!L18+Datos!AF18)/(Datos!K18+Datos!AE18)))*11)/factor_trimestre),((IF(D_I="SI",Datos!L18/Datos!K18,(Datos!L18+Datos!AF18)/(Datos!K18+Datos!AE18)))*11)/factor_trimestre," - ")</f>
        <v>1.9348837209302325</v>
      </c>
      <c r="BI18" s="763">
        <f>IF(ISNUMBER('Resol  Asuntos'!D18/NºAsuntos!G18),'Resol  Asuntos'!D18/NºAsuntos!G18," - ")</f>
        <v>7.441860465116279E-2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1751</v>
      </c>
      <c r="G23" s="1197">
        <f>SUBTOTAL(9,G16:G22)</f>
        <v>1874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2816</v>
      </c>
      <c r="AC23" s="1198">
        <f t="shared" si="5"/>
        <v>155</v>
      </c>
      <c r="AD23" s="1198">
        <f t="shared" si="5"/>
        <v>0</v>
      </c>
      <c r="AE23" s="1198">
        <f t="shared" si="5"/>
        <v>0</v>
      </c>
      <c r="AF23" s="1198">
        <f t="shared" si="5"/>
        <v>2087</v>
      </c>
      <c r="AG23" s="1198">
        <f t="shared" si="5"/>
        <v>0</v>
      </c>
      <c r="AH23" s="1198">
        <f t="shared" si="5"/>
        <v>0</v>
      </c>
      <c r="AI23" s="1198">
        <f t="shared" si="5"/>
        <v>0</v>
      </c>
      <c r="AJ23" s="1198">
        <f t="shared" si="5"/>
        <v>0</v>
      </c>
      <c r="AK23" s="1198">
        <f t="shared" si="5"/>
        <v>0</v>
      </c>
      <c r="AL23" s="1198">
        <f t="shared" si="5"/>
        <v>0</v>
      </c>
      <c r="AM23" s="1198">
        <f t="shared" si="5"/>
        <v>390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276</v>
      </c>
      <c r="BD23" s="1198">
        <f t="shared" si="5"/>
        <v>1669</v>
      </c>
      <c r="BE23" s="1198">
        <f t="shared" si="5"/>
        <v>0</v>
      </c>
      <c r="BF23" s="1198">
        <f t="shared" si="5"/>
        <v>0</v>
      </c>
      <c r="BG23" s="1198">
        <f>IF(ISNUMBER(Datos!K23/Datos!J23),Datos!K23/Datos!J23," - ")</f>
        <v>0.93929286190793859</v>
      </c>
      <c r="BH23" s="1202">
        <f>IF(ISNUMBER(((Datos!L23/Datos!K23)*11)/factor_trimestre),((Datos!L23/Datos!K23)*11)/factor_trimestre," - ")</f>
        <v>1.4822443181818181</v>
      </c>
      <c r="BI23" s="1198">
        <f>SUBTOTAL(9,BI16:BI22)</f>
        <v>0.17438015789991329</v>
      </c>
      <c r="BJ23" s="1198">
        <f>SUBTOTAL(9,BJ16:BJ22)</f>
        <v>0</v>
      </c>
      <c r="BK23" s="1198">
        <f>SUBTOTAL(9,BK16:BK22)</f>
        <v>0</v>
      </c>
      <c r="BL23" s="1198">
        <f>IF(ISNUMBER((I23-AB23+L23)/(F23)),(I23-AB23+L23)/(F23)," - ")</f>
        <v>-1.608223872073101</v>
      </c>
      <c r="BM23" s="1205">
        <f>IF(ISNUMBER((Datos!P23-Datos!Q23)/(Datos!R23-Datos!P23+Datos!Q23)),(Datos!P23-Datos!Q23)/(Datos!R23-Datos!P23+Datos!Q23)," - ")</f>
        <v>-9.3023255813953487E-2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1823</v>
      </c>
      <c r="G31" s="1117">
        <f t="shared" si="18"/>
        <v>1946</v>
      </c>
      <c r="H31" s="1119">
        <f t="shared" si="18"/>
        <v>0</v>
      </c>
      <c r="I31" s="1117">
        <f t="shared" si="18"/>
        <v>0</v>
      </c>
      <c r="J31" s="1119">
        <f t="shared" si="18"/>
        <v>0</v>
      </c>
      <c r="K31" s="1119">
        <f t="shared" si="18"/>
        <v>0</v>
      </c>
      <c r="L31" s="1180">
        <f t="shared" si="18"/>
        <v>0</v>
      </c>
      <c r="M31" s="1180">
        <f t="shared" si="18"/>
        <v>0</v>
      </c>
      <c r="N31" s="1180">
        <f t="shared" si="18"/>
        <v>359</v>
      </c>
      <c r="O31" s="1180">
        <f t="shared" si="18"/>
        <v>0</v>
      </c>
      <c r="P31" s="1180">
        <f t="shared" si="18"/>
        <v>0</v>
      </c>
      <c r="Q31" s="1119">
        <f t="shared" si="18"/>
        <v>694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2836</v>
      </c>
      <c r="AC31" s="1118">
        <f t="shared" si="19"/>
        <v>479</v>
      </c>
      <c r="AD31" s="1118">
        <f t="shared" si="19"/>
        <v>0</v>
      </c>
      <c r="AE31" s="1118">
        <f t="shared" si="19"/>
        <v>0</v>
      </c>
      <c r="AF31" s="1125">
        <f t="shared" si="19"/>
        <v>2156</v>
      </c>
      <c r="AG31" s="1125">
        <f t="shared" si="19"/>
        <v>0</v>
      </c>
      <c r="AH31" s="1125">
        <f t="shared" si="19"/>
        <v>288</v>
      </c>
      <c r="AI31" s="1125">
        <f t="shared" si="19"/>
        <v>0</v>
      </c>
      <c r="AJ31" s="1118">
        <f t="shared" si="19"/>
        <v>0</v>
      </c>
      <c r="AK31" s="1125">
        <f t="shared" si="19"/>
        <v>0</v>
      </c>
      <c r="AL31" s="1125">
        <f t="shared" si="19"/>
        <v>0</v>
      </c>
      <c r="AM31" s="1125">
        <f t="shared" si="19"/>
        <v>10092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1028</v>
      </c>
      <c r="BD31" s="1117">
        <f t="shared" si="19"/>
        <v>2961</v>
      </c>
      <c r="BE31" s="1117">
        <f t="shared" si="19"/>
        <v>0</v>
      </c>
      <c r="BF31" s="1127">
        <f t="shared" si="19"/>
        <v>0</v>
      </c>
      <c r="BG31" s="1223">
        <f>IF(ISNUMBER(Datos!K31/Datos!J31),Datos!K31/Datos!J31," - ")</f>
        <v>0.68719244580396333</v>
      </c>
      <c r="BH31" s="1223">
        <f>IF(ISNUMBER(((Datos!L31/Datos!K31)*11)/factor_trimestre),((Datos!L31/Datos!K31)*11)/factor_trimestre," - ")</f>
        <v>6.7365976388620092</v>
      </c>
      <c r="BI31" s="1103">
        <f>IF(ISNUMBER(Datos!J31/Datos!I31),Datos!J31/Datos!I31," - ")</f>
        <v>0.50056587444244727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-1.5556774547449259</v>
      </c>
      <c r="BM31" s="1188">
        <f>IF(ISNUMBER((Datos!P31-Datos!Q31+R31)/(Datos!R31-Datos!P31+Datos!Q31-R31)),(Datos!P31-Datos!Q31+R31)/(Datos!R31-Datos!P31+Datos!Q31-R31)," - ")</f>
        <v>2.1767743241875064E-2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486.5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2.2071123734961402</v>
      </c>
      <c r="F33" s="673">
        <f>IF(ISNUMBER(STDEV(F8:F30)),STDEV(F8:F30),"-")</f>
        <v>840.61731851686011</v>
      </c>
      <c r="G33" s="674">
        <f>IF(ISNUMBER(STDEV(G8:G30)),STDEV(G8:G30),"-")</f>
        <v>811.85255522697685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1237.5456124350096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276.59083663254449</v>
      </c>
      <c r="BD33" s="673"/>
      <c r="BE33" s="673">
        <f>IF(ISNUMBER(STDEV(BE8:BE30)),STDEV(BE8:BE30),"-")</f>
        <v>0</v>
      </c>
      <c r="BF33" s="678">
        <f>IF(ISNUMBER(STDEV(BF8:BF30)),STDEV(BF8:BF30),"-")</f>
        <v>0</v>
      </c>
      <c r="BG33" s="1052">
        <f>IF(ISNUMBER(STDEV(BG8:BG30)),STDEV(BG8:BG30),"-")</f>
        <v>0.23591670618815247</v>
      </c>
      <c r="BH33" s="1058">
        <f>IF(ISNUMBER(STDEV(BH8:BH30)),STDEV(BH8:BH30),"-")</f>
        <v>4.9399846882285736</v>
      </c>
      <c r="BI33" s="273">
        <f>IF(ISNUMBER(STDEV(BI8:BI30)),STDEV(BI8:BI30),"-")</f>
        <v>9.2004665997686211E-2</v>
      </c>
      <c r="BJ33" s="244" t="str">
        <f>IF(ISNUMBER(BL33/BM33),BL33/BM33," - ")</f>
        <v xml:space="preserve"> - </v>
      </c>
      <c r="BK33" s="709"/>
      <c r="BL33" s="681">
        <f>IF(ISNUMBER(STDEV(BL8:BL30)),STDEV(BL8:BL30),"-")</f>
        <v>0.9407674552793801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0dLs1WW6IkJbdmZC21yMbivZG6Y6/KA9qScKUCfdGakIAlgiJFNuQ3YgMRkMtRTp0bqHrEsnoMPuG/hVH6U3ug==" saltValue="J7nPk3Lcty/uI5obCpE8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ALCOBENDAS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3 al 3</v>
      </c>
      <c r="D5" s="1925" t="s">
        <v>487</v>
      </c>
      <c r="E5" s="1882" t="s">
        <v>744</v>
      </c>
      <c r="F5" s="1893" t="s">
        <v>523</v>
      </c>
      <c r="G5" s="1882" t="s">
        <v>173</v>
      </c>
      <c r="H5" s="1882" t="s">
        <v>777</v>
      </c>
      <c r="I5" s="1882" t="s">
        <v>745</v>
      </c>
      <c r="J5" s="1882" t="s">
        <v>882</v>
      </c>
      <c r="K5" s="1882" t="s">
        <v>746</v>
      </c>
      <c r="L5" s="1882" t="s">
        <v>775</v>
      </c>
      <c r="M5" s="1882" t="s">
        <v>884</v>
      </c>
      <c r="N5" s="1882" t="s">
        <v>772</v>
      </c>
      <c r="O5" s="1882" t="s">
        <v>806</v>
      </c>
      <c r="P5" s="1888" t="s">
        <v>874</v>
      </c>
      <c r="Q5" s="1888" t="s">
        <v>877</v>
      </c>
      <c r="R5" s="1882" t="s">
        <v>781</v>
      </c>
      <c r="S5" s="1882" t="s">
        <v>747</v>
      </c>
      <c r="T5" s="1882" t="s">
        <v>1030</v>
      </c>
      <c r="U5" s="1882" t="s">
        <v>1031</v>
      </c>
      <c r="V5" s="1902" t="s">
        <v>865</v>
      </c>
      <c r="W5" s="1899" t="s">
        <v>761</v>
      </c>
      <c r="X5" s="1917" t="s">
        <v>762</v>
      </c>
      <c r="Y5" s="1920" t="s">
        <v>782</v>
      </c>
      <c r="Z5" s="1920" t="s">
        <v>807</v>
      </c>
      <c r="AA5" s="1882" t="s">
        <v>751</v>
      </c>
      <c r="AB5" s="1882" t="s">
        <v>763</v>
      </c>
      <c r="AC5" s="1882" t="s">
        <v>764</v>
      </c>
      <c r="AD5" s="1882" t="s">
        <v>704</v>
      </c>
      <c r="AE5" s="1882" t="s">
        <v>885</v>
      </c>
      <c r="AF5" s="1882" t="s">
        <v>239</v>
      </c>
      <c r="AG5" s="1882" t="s">
        <v>765</v>
      </c>
      <c r="AH5" s="1882" t="s">
        <v>752</v>
      </c>
      <c r="AI5" s="1882" t="s">
        <v>753</v>
      </c>
      <c r="AJ5" s="1882" t="s">
        <v>766</v>
      </c>
      <c r="AK5" s="1882" t="s">
        <v>767</v>
      </c>
      <c r="AL5" s="1882" t="s">
        <v>768</v>
      </c>
      <c r="AM5" s="1914" t="s">
        <v>769</v>
      </c>
      <c r="AN5" s="1882" t="s">
        <v>320</v>
      </c>
      <c r="AO5" s="1882" t="s">
        <v>755</v>
      </c>
      <c r="AP5" s="1882" t="s">
        <v>756</v>
      </c>
      <c r="AQ5" s="1882" t="s">
        <v>783</v>
      </c>
      <c r="AR5" s="1882" t="s">
        <v>784</v>
      </c>
      <c r="AS5" s="1882" t="s">
        <v>786</v>
      </c>
      <c r="AT5" s="1882" t="s">
        <v>779</v>
      </c>
      <c r="AU5" s="1882" t="s">
        <v>1104</v>
      </c>
      <c r="AV5" s="1882" t="s">
        <v>432</v>
      </c>
      <c r="AW5" s="1882" t="s">
        <v>770</v>
      </c>
      <c r="AX5" s="1882" t="s">
        <v>709</v>
      </c>
      <c r="BU5" s="1882" t="s">
        <v>1032</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785</v>
      </c>
      <c r="B9" s="745" t="s">
        <v>317</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568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247</v>
      </c>
      <c r="AA9" s="551" t="str">
        <f>IF(ISNUMBER(IF(J_V="SI",Datos!L9,Datos!L9+Datos!AB9)-IF(Monitorios="SI",Datos!CD9,0)),
                          IF(J_V="SI",Datos!L9,Datos!L9+Datos!AB9)-IF(Monitorios="SI",Datos!CD9,0),
                          " - ")</f>
        <v xml:space="preserve"> - </v>
      </c>
      <c r="AB9" s="549"/>
      <c r="AC9" s="549"/>
      <c r="AD9" s="563"/>
      <c r="AE9" s="563">
        <f>IF(ISNUMBER(Datos!R9),Datos!R9," - ")</f>
        <v>9346</v>
      </c>
      <c r="AF9" s="693" t="str">
        <f>IF(ISNUMBER(Datos!BV9),Datos!BV9," - ")</f>
        <v xml:space="preserve"> - </v>
      </c>
      <c r="AG9" s="552" t="str">
        <f>IF(ISNUMBER(Datos!DV9),Datos!DV9," - ")</f>
        <v xml:space="preserve"> - </v>
      </c>
      <c r="AH9" s="553"/>
      <c r="AI9" s="554"/>
      <c r="AJ9" s="552">
        <f>IF(ISNUMBER(Datos!M9),Datos!M9," - ")</f>
        <v>657</v>
      </c>
      <c r="AK9" s="693">
        <f>IF(ISNUMBER(Datos!N9),Datos!N9," - ")</f>
        <v>1168</v>
      </c>
      <c r="AL9" s="693" t="str">
        <f>IF(ISNUMBER(Datos!BW9),Datos!BW9," - ")</f>
        <v xml:space="preserve"> - </v>
      </c>
      <c r="AM9" s="762" t="str">
        <f>IF(ISNUMBER(Datos!BX9),Datos!BX9," - ")</f>
        <v xml:space="preserve"> - </v>
      </c>
      <c r="AN9" s="763"/>
      <c r="AO9" s="764">
        <f>IF(ISNUMBER(((NºAsuntos!I9/NºAsuntos!G9)*11)/factor_trimestre),((NºAsuntos!I9/NºAsuntos!G9)*11)/factor_trimestre," - ")</f>
        <v>12.211784095591264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3.5567867036011079E-2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72</v>
      </c>
      <c r="G10" s="552">
        <f>IF(ISNUMBER(Datos!I10),Datos!I10," - ")</f>
        <v>72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3</v>
      </c>
      <c r="AA10" s="551">
        <f>IF(ISNUMBER(Datos!L10),Datos!L10,"-")</f>
        <v>69</v>
      </c>
      <c r="AB10" s="549"/>
      <c r="AC10" s="549"/>
      <c r="AD10" s="563"/>
      <c r="AE10" s="563">
        <f>IF(ISNUMBER(Datos!R10),Datos!R10," - ")</f>
        <v>52</v>
      </c>
      <c r="AF10" s="693" t="str">
        <f>IF(ISNUMBER(Datos!BV10),Datos!BV10," - ")</f>
        <v xml:space="preserve"> - </v>
      </c>
      <c r="AG10" s="552" t="str">
        <f>IF(ISNUMBER(Datos!DV10),Datos!DV10," - ")</f>
        <v xml:space="preserve"> - </v>
      </c>
      <c r="AH10" s="553"/>
      <c r="AI10" s="554"/>
      <c r="AJ10" s="552">
        <f>IF(ISNUMBER(Datos!M10),Datos!M10," - ")</f>
        <v>5</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11</v>
      </c>
      <c r="AA11" s="551" t="str">
        <f>IF(ISNUMBER(IF(J_V="SI",Datos!L11,Datos!L11+Datos!AB11)-IF(Monitorios="SI",Datos!CD11,0)),
                          IF(J_V="SI",Datos!L11,Datos!L11+Datos!AB11)-IF(Monitorios="SI",Datos!CD11,0),
                          " - ")</f>
        <v xml:space="preserve"> - </v>
      </c>
      <c r="AB11" s="549"/>
      <c r="AC11" s="549"/>
      <c r="AD11" s="563"/>
      <c r="AE11" s="563">
        <f>IF(ISNUMBER(Datos!R11),Datos!R11," - ")</f>
        <v>125</v>
      </c>
      <c r="AF11" s="693" t="str">
        <f>IF(ISNUMBER(Datos!BV11),Datos!BV11," - ")</f>
        <v xml:space="preserve"> - </v>
      </c>
      <c r="AG11" s="552" t="str">
        <f>IF(ISNUMBER(Datos!DV11),Datos!DV11," - ")</f>
        <v xml:space="preserve"> - </v>
      </c>
      <c r="AH11" s="553"/>
      <c r="AI11" s="554"/>
      <c r="AJ11" s="552">
        <f>IF(ISNUMBER(Datos!M11),Datos!M11," - ")</f>
        <v>90</v>
      </c>
      <c r="AK11" s="693">
        <f>IF(ISNUMBER(Datos!N11),Datos!N11," - ")</f>
        <v>108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5.8683127572016467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-3.8461538461538464E-2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63</v>
      </c>
      <c r="AA12" s="551" t="str">
        <f>IF(ISNUMBER(IF(J_V="SI",Datos!L12,Datos!L12+Datos!AB12)-IF(Monitorios="SI",Datos!CD12,0)),
                          IF(J_V="SI",Datos!L12,Datos!L12+Datos!AB12)-IF(Monitorios="SI",Datos!CD12,0),
                          " - ")</f>
        <v xml:space="preserve"> - </v>
      </c>
      <c r="AB12" s="549"/>
      <c r="AC12" s="549"/>
      <c r="AD12" s="563"/>
      <c r="AE12" s="563">
        <f>IF(ISNUMBER(Datos!R12),Datos!R12," - ")</f>
        <v>179</v>
      </c>
      <c r="AF12" s="693" t="str">
        <f>IF(ISNUMBER(Datos!BV12),Datos!BV12," - ")</f>
        <v xml:space="preserve"> - </v>
      </c>
      <c r="AG12" s="552" t="str">
        <f>IF(ISNUMBER(Datos!DV12),Datos!DV12," - ")</f>
        <v xml:space="preserve"> - </v>
      </c>
      <c r="AH12" s="553"/>
      <c r="AI12" s="554"/>
      <c r="AJ12" s="552">
        <f>IF(ISNUMBER(Datos!M12),Datos!M12," - ")</f>
        <v>0</v>
      </c>
      <c r="AK12" s="693">
        <f>IF(ISNUMBER(Datos!N12),Datos!N12," - ")</f>
        <v>1</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-0.25416666666666665</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72</v>
      </c>
      <c r="G14" s="1197">
        <f>SUBTOTAL(9,G8:G13)</f>
        <v>72</v>
      </c>
      <c r="H14" s="1211"/>
      <c r="I14" s="1197">
        <f t="shared" ref="I14:N14" si="1">SUBTOTAL(9,I8:I13)</f>
        <v>0</v>
      </c>
      <c r="J14" s="1164">
        <f t="shared" si="1"/>
        <v>0</v>
      </c>
      <c r="K14" s="1211">
        <f t="shared" si="1"/>
        <v>0</v>
      </c>
      <c r="L14" s="1211">
        <f t="shared" si="1"/>
        <v>0</v>
      </c>
      <c r="M14" s="1211">
        <f t="shared" si="1"/>
        <v>0</v>
      </c>
      <c r="N14" s="1211">
        <f t="shared" si="1"/>
        <v>579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324</v>
      </c>
      <c r="AA14" s="1199">
        <f t="shared" si="3"/>
        <v>69</v>
      </c>
      <c r="AB14" s="1199">
        <f t="shared" si="3"/>
        <v>0</v>
      </c>
      <c r="AC14" s="1199">
        <f t="shared" si="3"/>
        <v>0</v>
      </c>
      <c r="AD14" s="1199">
        <f t="shared" si="3"/>
        <v>0</v>
      </c>
      <c r="AE14" s="1199">
        <f t="shared" si="3"/>
        <v>9702</v>
      </c>
      <c r="AF14" s="1211">
        <f t="shared" si="3"/>
        <v>0</v>
      </c>
      <c r="AG14" s="1211">
        <f t="shared" si="3"/>
        <v>0</v>
      </c>
      <c r="AH14" s="1211">
        <f t="shared" si="3"/>
        <v>0</v>
      </c>
      <c r="AI14" s="1211">
        <f t="shared" si="3"/>
        <v>0</v>
      </c>
      <c r="AJ14" s="1211">
        <f t="shared" si="3"/>
        <v>752</v>
      </c>
      <c r="AK14" s="1211">
        <f t="shared" si="3"/>
        <v>1292</v>
      </c>
      <c r="AL14" s="1211">
        <f t="shared" si="3"/>
        <v>0</v>
      </c>
      <c r="AM14" s="1211">
        <f t="shared" si="3"/>
        <v>0</v>
      </c>
      <c r="AN14" s="1211">
        <f t="shared" si="3"/>
        <v>0</v>
      </c>
      <c r="AO14" s="1203">
        <f>IF(ISNUMBER(((NºAsuntos!I14/NºAsuntos!G14)*11)/factor_trimestre),((NºAsuntos!I14/NºAsuntos!G14)*11)/factor_trimestre," - ")</f>
        <v>11.602230483271375</v>
      </c>
      <c r="AP14" s="1213" t="str">
        <f>IF(ISNUMBER(Datos!CI14/Datos!CJ14),Datos!CI14/Datos!CJ14," - ")</f>
        <v xml:space="preserve"> - </v>
      </c>
      <c r="AQ14" s="1236">
        <f t="shared" ref="AQ14:AV14" si="4">SUBTOTAL(9,AQ9:AQ13)</f>
        <v>0</v>
      </c>
      <c r="AR14" s="1236">
        <f t="shared" si="4"/>
        <v>-0.25706033809219403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1750</v>
      </c>
      <c r="G16" s="552">
        <f>IF(ISNUMBER(IF(D_I="SI",Datos!I16,Datos!I16+Datos!AC16)),IF(D_I="SI",Datos!I16,Datos!I16+Datos!AC16)," - ")</f>
        <v>1721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2601</v>
      </c>
      <c r="Z16" s="805">
        <f>IF(ISNUMBER(Datos!Q16),Datos!Q16," - ")</f>
        <v>154</v>
      </c>
      <c r="AA16" s="551">
        <f>IF(ISNUMBER(IF(D_I="SI",Datos!L16,Datos!L16+Datos!AF16)),IF(D_I="SI",Datos!L16,Datos!L16+Datos!AF16)," - ")</f>
        <v>1878</v>
      </c>
      <c r="AB16" s="549"/>
      <c r="AC16" s="549"/>
      <c r="AD16" s="563"/>
      <c r="AE16" s="563">
        <f>IF(ISNUMBER(Datos!R16),Datos!R16," - ")</f>
        <v>388</v>
      </c>
      <c r="AF16" s="693" t="str">
        <f>IF(ISNUMBER(Datos!BV16),Datos!BV16," - ")</f>
        <v xml:space="preserve"> - </v>
      </c>
      <c r="AG16" s="552"/>
      <c r="AH16" s="553"/>
      <c r="AI16" s="554"/>
      <c r="AJ16" s="552">
        <f>IF(ISNUMBER(Datos!M16),Datos!M16," - ")</f>
        <v>260</v>
      </c>
      <c r="AK16" s="693">
        <f>IF(ISNUMBER(Datos!N16),Datos!N16," - ")</f>
        <v>1541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1.4440599769319493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507</v>
      </c>
      <c r="C17" s="765" t="str">
        <f>Datos!A17</f>
        <v xml:space="preserve">Jdos. 1ª Instª. e Instr.                        </v>
      </c>
      <c r="D17" s="593"/>
      <c r="E17" s="1558">
        <f>IF(ISNUMBER(Datos!AQ17),Datos!AQ17," - ")</f>
        <v>0</v>
      </c>
      <c r="F17" s="543">
        <f>IF(ISNUMBER(AA17+Y17-Datos!J17-K16),AA17+Y17-Datos!J17-K16," - ")</f>
        <v>1</v>
      </c>
      <c r="G17" s="552">
        <f>IF(ISNUMBER(IF(D_I="SI",Datos!I17,Datos!I17+Datos!AC17)),IF(D_I="SI",Datos!I17,Datos!I17+Datos!AC17)," - ")</f>
        <v>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v>
      </c>
      <c r="AB17" s="549"/>
      <c r="AC17" s="549"/>
      <c r="AD17" s="563"/>
      <c r="AE17" s="563">
        <f>IF(ISNUMBER(Datos!R17),Datos!R17," - ")</f>
        <v>1</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215</v>
      </c>
      <c r="Z18" s="805">
        <f>IF(ISNUMBER(Datos!Q18),Datos!Q18," - ")</f>
        <v>1</v>
      </c>
      <c r="AA18" s="551">
        <f>IF(ISNUMBER(Datos!L18),Datos!L18,"-")</f>
        <v>208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16</v>
      </c>
      <c r="AK18" s="693">
        <f>IF(ISNUMBER(Datos!N18),Datos!N18," - ")</f>
        <v>128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1.9348837209302325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1751</v>
      </c>
      <c r="G23" s="1197">
        <f>SUBTOTAL(9,G16:G22)</f>
        <v>1874</v>
      </c>
      <c r="H23" s="1240">
        <f>SUBTOTAL(9,H16:H22)</f>
        <v>0</v>
      </c>
      <c r="I23" s="1217">
        <f>SUBTOTAL(9,I16:I22)</f>
        <v>0</v>
      </c>
      <c r="J23" s="1164">
        <f>SUBTOTAL(9,J15:J22)</f>
        <v>0</v>
      </c>
      <c r="K23" s="1240">
        <f t="shared" ref="K23:S23" si="5">SUBTOTAL(9,K16:K22)</f>
        <v>0</v>
      </c>
      <c r="L23" s="1240">
        <f t="shared" si="5"/>
        <v>0</v>
      </c>
      <c r="M23" s="1240">
        <f t="shared" si="5"/>
        <v>0</v>
      </c>
      <c r="N23" s="1240">
        <f t="shared" si="5"/>
        <v>115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2816</v>
      </c>
      <c r="Z23" s="1240">
        <f t="shared" si="6"/>
        <v>155</v>
      </c>
      <c r="AA23" s="1240">
        <f t="shared" si="6"/>
        <v>2087</v>
      </c>
      <c r="AB23" s="1240">
        <f t="shared" si="6"/>
        <v>0</v>
      </c>
      <c r="AC23" s="1240">
        <f t="shared" si="6"/>
        <v>0</v>
      </c>
      <c r="AD23" s="1240">
        <f t="shared" si="6"/>
        <v>0</v>
      </c>
      <c r="AE23" s="1240">
        <f t="shared" si="6"/>
        <v>390</v>
      </c>
      <c r="AF23" s="1240">
        <f t="shared" si="6"/>
        <v>0</v>
      </c>
      <c r="AG23" s="1240">
        <f t="shared" si="6"/>
        <v>0</v>
      </c>
      <c r="AH23" s="1240">
        <f t="shared" si="6"/>
        <v>0</v>
      </c>
      <c r="AI23" s="1240">
        <f t="shared" si="6"/>
        <v>0</v>
      </c>
      <c r="AJ23" s="1240">
        <f t="shared" si="6"/>
        <v>276</v>
      </c>
      <c r="AK23" s="1240">
        <f t="shared" si="6"/>
        <v>1669</v>
      </c>
      <c r="AL23" s="1240">
        <f t="shared" si="6"/>
        <v>0</v>
      </c>
      <c r="AM23" s="1240">
        <f t="shared" si="6"/>
        <v>0</v>
      </c>
      <c r="AN23" s="1240">
        <f t="shared" si="6"/>
        <v>0</v>
      </c>
      <c r="AO23" s="1242">
        <f>IF(ISNUMBER(((NºAsuntos!I23/NºAsuntos!G23)*11)/factor_trimestre),((NºAsuntos!I23/NºAsuntos!G23)*11)/factor_trimestre," - ")</f>
        <v>1.4822443181818181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1823</v>
      </c>
      <c r="G31" s="1117">
        <f t="shared" si="12"/>
        <v>1946</v>
      </c>
      <c r="H31" s="1118">
        <f t="shared" si="12"/>
        <v>0</v>
      </c>
      <c r="I31" s="1117">
        <f t="shared" si="12"/>
        <v>0</v>
      </c>
      <c r="J31" s="1119">
        <f t="shared" si="12"/>
        <v>0</v>
      </c>
      <c r="K31" s="1117">
        <f t="shared" si="12"/>
        <v>0</v>
      </c>
      <c r="L31" s="1120">
        <f t="shared" si="12"/>
        <v>0</v>
      </c>
      <c r="M31" s="1117">
        <f t="shared" si="12"/>
        <v>0</v>
      </c>
      <c r="N31" s="1118">
        <f t="shared" si="12"/>
        <v>694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2836</v>
      </c>
      <c r="Z31" s="1124">
        <f t="shared" si="13"/>
        <v>479</v>
      </c>
      <c r="AA31" s="1125">
        <f t="shared" si="13"/>
        <v>2156</v>
      </c>
      <c r="AB31" s="1125">
        <f t="shared" si="13"/>
        <v>0</v>
      </c>
      <c r="AC31" s="1125">
        <f t="shared" si="13"/>
        <v>0</v>
      </c>
      <c r="AD31" s="1126">
        <f t="shared" si="13"/>
        <v>0</v>
      </c>
      <c r="AE31" s="1126">
        <f t="shared" si="13"/>
        <v>10092</v>
      </c>
      <c r="AF31" s="1127">
        <f t="shared" si="13"/>
        <v>0</v>
      </c>
      <c r="AG31" s="1128">
        <f t="shared" si="13"/>
        <v>0</v>
      </c>
      <c r="AH31" s="1129">
        <f t="shared" si="13"/>
        <v>0</v>
      </c>
      <c r="AI31" s="1127">
        <f t="shared" si="13"/>
        <v>0</v>
      </c>
      <c r="AJ31" s="1117">
        <f t="shared" si="13"/>
        <v>1028</v>
      </c>
      <c r="AK31" s="1117">
        <f t="shared" si="13"/>
        <v>2961</v>
      </c>
      <c r="AL31" s="1117">
        <f t="shared" si="13"/>
        <v>0</v>
      </c>
      <c r="AM31" s="1130">
        <f t="shared" si="13"/>
        <v>0</v>
      </c>
      <c r="AN31" s="1120">
        <f>IF(ISNUMBER(Datos!K31/Datos!J31),Datos!K31/Datos!J31," - ")</f>
        <v>0.68719244580396333</v>
      </c>
      <c r="AO31" s="1120">
        <f>IF(ISNUMBER(FIND("06",Criterios!A8,1)),(IF(ISNUMBER(((Datos!R31/Datos!Q31)*11)/factor_trimestre),((Datos!R31/Datos!Q31)*11)/factor_trimestre," - ")),(IF(ISNUMBER(((Datos!L31/Datos!K31)*11)/factor_trimestre),((Datos!L31/Datos!K31)*11)/factor_trimestre," - ")))</f>
        <v>6.7365976388620092</v>
      </c>
      <c r="AP31" s="1131" t="str">
        <f>IF(ISNUMBER(Datos!CI31/Datos!CJ31),Datos!CI31/Datos!CJ31," - ")</f>
        <v xml:space="preserve"> - </v>
      </c>
      <c r="AQ31" s="1131">
        <f>IF(OR(ISNUMBER(FIND("01",Criterios!A8,1)),ISNUMBER(FIND("02",Criterios!A8,1)),ISNUMBER(FIND("03",Criterios!A8,1)),ISNUMBER(FIND("04",Criterios!A8,1))),(J31-Y31+K31)/(F31-K31),(I31-Y31+K31)/(F31-K31))</f>
        <v>-1.5556774547449259</v>
      </c>
      <c r="AR31" s="1131">
        <f>IF(ISNUMBER((Datos!P31-Datos!Q31+O31)/(Datos!R31-Datos!P31+Datos!Q31-O31)),(Datos!P31-Datos!Q31+O31)/(Datos!R31-Datos!P31+Datos!Q31-O31)," - ")</f>
        <v>2.1767743241875064E-2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486.5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840.61731851686011</v>
      </c>
      <c r="G33" s="674">
        <f>IF(ISNUMBER(STDEV(G8:G30)),STDEV(G8:G30),"-")</f>
        <v>811.85255522697685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276.59083663254449</v>
      </c>
      <c r="AK33" s="276"/>
      <c r="AL33" s="276">
        <f>IF(ISNUMBER(STDEV(AL8:AL30)),STDEV(AL8:AL30),"-")</f>
        <v>0</v>
      </c>
      <c r="AM33" s="278">
        <f>IF(ISNUMBER(STDEV(AM8:AM30)),STDEV(AM8:AM30),"-")</f>
        <v>0</v>
      </c>
      <c r="AN33" s="660">
        <f>IF(ISNUMBER(STDEV(AN8:AN30)),STDEV(AN8:AN30),"-")</f>
        <v>0</v>
      </c>
      <c r="AO33" s="661">
        <f>IF(ISNUMBER(STDEV(AO8:AO30)),STDEV(AO8:AO30),"-")</f>
        <v>4.6268460552798967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azzLpYRvlodlUubnDGbpDj39shqa+vgi4uhXLL4ps5y1wtwU4ySk55Y7d2yCz08Q8N8/D8Iikmt2vEHFN+gz0w==" saltValue="JGdUG6NrR47SSviowDwI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822</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823</v>
      </c>
      <c r="B4" s="1933" t="s">
        <v>933</v>
      </c>
      <c r="C4" s="1933" t="s">
        <v>824</v>
      </c>
      <c r="D4" s="1933" t="s">
        <v>891</v>
      </c>
      <c r="E4" s="1935" t="s">
        <v>892</v>
      </c>
      <c r="F4" s="1933" t="s">
        <v>825</v>
      </c>
      <c r="G4" s="1935" t="s">
        <v>594</v>
      </c>
      <c r="H4" s="1928" t="s">
        <v>826</v>
      </c>
      <c r="I4" s="1928" t="s">
        <v>827</v>
      </c>
      <c r="J4" s="1928" t="s">
        <v>828</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Ycm50y4emN788ABnEzO1tSnouMjleAdBxo2xazcRom99LeR3bHEboG2sB8/KcLRm/YUR6Oxp7LuSqpop/obBBw==" saltValue="nih/DhRJhzhBqjzJITLB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346</v>
      </c>
      <c r="CF4" s="1829"/>
      <c r="CG4" s="1829"/>
      <c r="CH4" s="1830"/>
    </row>
    <row r="5" spans="1:155" ht="12.75" customHeight="1" thickBot="1">
      <c r="A5" s="1798" t="str">
        <f>"Año:  " &amp;Criterios!B5 &amp; "                  Trimestre   " &amp;Criterios!D5 &amp; " al " &amp;Criterios!D6</f>
        <v>Año:  2022                  Trimestre   3 al 3</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636</v>
      </c>
      <c r="DM5" s="1848" t="s">
        <v>701</v>
      </c>
      <c r="DN5" s="1848" t="s">
        <v>702</v>
      </c>
      <c r="DO5" s="1848" t="s">
        <v>703</v>
      </c>
      <c r="DP5" s="1848" t="s">
        <v>704</v>
      </c>
      <c r="DQ5" s="1848" t="s">
        <v>705</v>
      </c>
      <c r="DR5" s="1848" t="s">
        <v>706</v>
      </c>
      <c r="DS5" s="1848" t="s">
        <v>707</v>
      </c>
      <c r="DT5" s="1848" t="s">
        <v>708</v>
      </c>
      <c r="DU5" s="1849" t="s">
        <v>709</v>
      </c>
      <c r="DV5" s="1861" t="s">
        <v>710</v>
      </c>
      <c r="DW5" s="1858" t="s">
        <v>711</v>
      </c>
      <c r="DX5" s="1848" t="s">
        <v>712</v>
      </c>
      <c r="DY5" s="1855" t="s">
        <v>713</v>
      </c>
      <c r="DZ5" s="1858" t="s">
        <v>714</v>
      </c>
      <c r="EA5" s="1855" t="s">
        <v>715</v>
      </c>
      <c r="EB5" s="1852" t="s">
        <v>775</v>
      </c>
      <c r="EC5" s="1852" t="s">
        <v>776</v>
      </c>
      <c r="ED5" s="1852" t="s">
        <v>777</v>
      </c>
      <c r="EE5" s="1852" t="s">
        <v>817</v>
      </c>
      <c r="EF5" s="1852" t="s">
        <v>821</v>
      </c>
      <c r="EG5" s="1855" t="s">
        <v>819</v>
      </c>
      <c r="EH5" s="1855" t="s">
        <v>820</v>
      </c>
      <c r="EI5" s="1855" t="s">
        <v>779</v>
      </c>
      <c r="EJ5" s="1855" t="s">
        <v>780</v>
      </c>
      <c r="EK5" s="1867" t="s">
        <v>868</v>
      </c>
      <c r="EL5" s="1870" t="s">
        <v>886</v>
      </c>
      <c r="EM5" s="1871"/>
      <c r="EN5" s="1872"/>
      <c r="EO5" s="1768" t="s">
        <v>986</v>
      </c>
      <c r="EP5" s="1768" t="s">
        <v>988</v>
      </c>
      <c r="EQ5" s="1768" t="s">
        <v>989</v>
      </c>
      <c r="ER5" s="1768" t="s">
        <v>1002</v>
      </c>
      <c r="ES5" s="1768" t="s">
        <v>1004</v>
      </c>
      <c r="ET5" s="1864" t="s">
        <v>1081</v>
      </c>
      <c r="EU5" s="1864" t="s">
        <v>1082</v>
      </c>
      <c r="EV5" s="1765" t="s">
        <v>1103</v>
      </c>
      <c r="EW5" s="1765" t="s">
        <v>1109</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985</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887</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 t="s">
        <v>993</v>
      </c>
      <c r="ER8" s="53" t="s">
        <v>1003</v>
      </c>
      <c r="ES8" s="532" t="s">
        <v>1005</v>
      </c>
      <c r="ET8" s="1519" t="s">
        <v>1083</v>
      </c>
      <c r="EU8" s="1519" t="s">
        <v>1084</v>
      </c>
      <c r="EV8" s="165" t="s">
        <v>1092</v>
      </c>
      <c r="EW8" s="165">
        <v>153</v>
      </c>
      <c r="EX8" s="532" t="s">
        <v>1137</v>
      </c>
      <c r="EY8" s="532" t="s">
        <v>1150</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tvNUmUwFMVr3xlRlusGvDg8aPIWuwebm7zjVFGdu4hLomhy65+G5JGHirpH/T+b1PhMRU7efipdwBqRoZF0UA==" saltValue="rRYKslrUr3X5fyW3v8Qa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ALCOBENDAS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3 al 3</v>
      </c>
      <c r="D5" s="1882" t="s">
        <v>487</v>
      </c>
      <c r="E5" s="1882" t="s">
        <v>744</v>
      </c>
      <c r="F5" s="1893" t="s">
        <v>523</v>
      </c>
      <c r="G5" s="1882" t="s">
        <v>173</v>
      </c>
      <c r="H5" s="1882" t="s">
        <v>777</v>
      </c>
      <c r="I5" s="1882" t="s">
        <v>745</v>
      </c>
      <c r="J5" s="1882" t="s">
        <v>862</v>
      </c>
      <c r="K5" s="1882" t="s">
        <v>746</v>
      </c>
      <c r="L5" s="1882" t="s">
        <v>701</v>
      </c>
      <c r="M5" s="1885" t="s">
        <v>775</v>
      </c>
      <c r="N5" s="1882" t="s">
        <v>919</v>
      </c>
      <c r="O5" s="1882" t="s">
        <v>878</v>
      </c>
      <c r="P5" s="1882" t="s">
        <v>225</v>
      </c>
      <c r="Q5" s="1888" t="s">
        <v>874</v>
      </c>
      <c r="R5" s="1888" t="s">
        <v>920</v>
      </c>
      <c r="S5" s="1882" t="s">
        <v>778</v>
      </c>
      <c r="T5" s="1888" t="s">
        <v>747</v>
      </c>
      <c r="U5" s="1888" t="s">
        <v>1030</v>
      </c>
      <c r="V5" s="1888" t="s">
        <v>1031</v>
      </c>
      <c r="W5" s="1899" t="s">
        <v>803</v>
      </c>
      <c r="X5" s="1917" t="s">
        <v>748</v>
      </c>
      <c r="Y5" s="1899" t="s">
        <v>749</v>
      </c>
      <c r="Z5" s="1899" t="s">
        <v>750</v>
      </c>
      <c r="AA5" s="1882" t="s">
        <v>879</v>
      </c>
      <c r="AB5" s="1882" t="s">
        <v>885</v>
      </c>
      <c r="AC5" s="1882" t="s">
        <v>239</v>
      </c>
      <c r="AD5" s="1905" t="s">
        <v>237</v>
      </c>
      <c r="AE5" s="1882" t="s">
        <v>880</v>
      </c>
      <c r="AF5" s="1908" t="s">
        <v>881</v>
      </c>
      <c r="AG5" s="1911" t="s">
        <v>710</v>
      </c>
      <c r="AH5" s="1882" t="s">
        <v>711</v>
      </c>
      <c r="AI5" s="1882" t="s">
        <v>801</v>
      </c>
      <c r="AJ5" s="1914" t="s">
        <v>802</v>
      </c>
      <c r="AK5" s="1911" t="s">
        <v>240</v>
      </c>
      <c r="AL5" s="1882" t="s">
        <v>754</v>
      </c>
      <c r="AM5" s="1882" t="s">
        <v>318</v>
      </c>
      <c r="AN5" s="1882" t="s">
        <v>319</v>
      </c>
      <c r="AO5" s="1882" t="s">
        <v>320</v>
      </c>
      <c r="AP5" s="1882" t="s">
        <v>755</v>
      </c>
      <c r="AQ5" s="1882" t="s">
        <v>321</v>
      </c>
      <c r="AR5" s="1882" t="s">
        <v>756</v>
      </c>
      <c r="AS5" s="1882" t="s">
        <v>757</v>
      </c>
      <c r="AT5" s="1882" t="s">
        <v>758</v>
      </c>
      <c r="AU5" s="1882" t="s">
        <v>786</v>
      </c>
      <c r="AV5" s="1882" t="s">
        <v>779</v>
      </c>
      <c r="AW5" s="1882" t="s">
        <v>1104</v>
      </c>
      <c r="AX5" s="1882" t="s">
        <v>1108</v>
      </c>
      <c r="AY5" s="1882" t="s">
        <v>1110</v>
      </c>
      <c r="AZ5" s="1882" t="s">
        <v>780</v>
      </c>
      <c r="BA5" s="1882" t="s">
        <v>1151</v>
      </c>
      <c r="BB5" s="1882" t="s">
        <v>759</v>
      </c>
      <c r="BC5" s="1882" t="s">
        <v>709</v>
      </c>
      <c r="BW5" s="1882" t="s">
        <v>1032</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0.27955390334572489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0.19767446076293074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aGIjME3UFaUsWy62RWi1oc1W2eZ9bEW4iLL5yaqRw4e0lpb1gTOUbrgfxiDGfjtHb2+vEAm+7S0Iu20Ky18Q==" saltValue="DXaLV+0rgb6J5SqHK6ZK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1077</v>
      </c>
    </row>
    <row r="3" spans="2:5" ht="16.5" customHeight="1" thickBot="1">
      <c r="B3" s="1518" t="s">
        <v>1078</v>
      </c>
      <c r="C3" s="1518" t="s">
        <v>1079</v>
      </c>
      <c r="D3" s="1518" t="s">
        <v>1080</v>
      </c>
      <c r="E3" s="1527" t="s">
        <v>1085</v>
      </c>
    </row>
  </sheetData>
  <sheetProtection algorithmName="SHA-512" hashValue="ctCSTb1bQF803dEIPcmO4VzEo5G8sor4q6I3t2wcdyJBtTX6+ZlXCmN4lu7Ch3y09Cp9GnCkZS+RiU7x67UXtg==" saltValue="1OxzYviDC/Q9Vpk3kAL4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ALCOBENDAS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991</v>
      </c>
      <c r="L5" s="1572" t="s">
        <v>1054</v>
      </c>
      <c r="M5" s="1572" t="s">
        <v>1139</v>
      </c>
      <c r="N5" s="1575" t="s">
        <v>990</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985</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12670</v>
      </c>
      <c r="D9" s="452">
        <f>IF(ISNUMBER(C9/Datos!BH9),C9/Datos!BH9," - ")</f>
        <v>2534</v>
      </c>
      <c r="E9" s="451">
        <f>IF(ISNUMBER(IF(J_V="SI",Datos!J9,Datos!J9+Datos!Z9)),IF(J_V="SI",Datos!J9,Datos!J9+Datos!Z9)," - ")</f>
        <v>4576</v>
      </c>
      <c r="F9" s="452">
        <f>IF(ISNUMBER(E9/B9),E9/B9," - ")</f>
        <v>915.2</v>
      </c>
      <c r="G9" s="451">
        <f>IF(ISNUMBER(IF(J_V="SI",Datos!K9,Datos!K9+Datos!AA9)),IF(J_V="SI",Datos!K9,Datos!K9+Datos!AA9)," - ")</f>
        <v>2427</v>
      </c>
      <c r="H9" s="452">
        <f>IF(ISNUMBER(G9/B9),G9/B9," - ")</f>
        <v>485.4</v>
      </c>
      <c r="I9" s="451">
        <f>IF(ISNUMBER(IF(J_V="SI",Datos!L9,Datos!L9+Datos!AB9)),IF(J_V="SI",Datos!L9,Datos!L9+Datos!AB9)," - ")</f>
        <v>14819</v>
      </c>
      <c r="J9" s="452">
        <f>IF(ISNUMBER(I9/B9),I9/B9," - ")</f>
        <v>2963.8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72</v>
      </c>
      <c r="D10" s="452">
        <f>IF(ISNUMBER(C10/Datos!BH10),C10/Datos!BH10," - ")</f>
        <v>72</v>
      </c>
      <c r="E10" s="451">
        <f>IF(ISNUMBER(Datos!J10),Datos!J10," - ")</f>
        <v>17</v>
      </c>
      <c r="F10" s="452">
        <f>IF(ISNUMBER(E10/B10),E10/B10," - ")</f>
        <v>17</v>
      </c>
      <c r="G10" s="451">
        <f>IF(ISNUMBER(Datos!K10),Datos!K10," - ")</f>
        <v>20</v>
      </c>
      <c r="H10" s="452">
        <f>IF(ISNUMBER(G10/B10),G10/B10," - ")</f>
        <v>20</v>
      </c>
      <c r="I10" s="451">
        <f>IF(ISNUMBER(Datos!L10),Datos!L10," - ")</f>
        <v>69</v>
      </c>
      <c r="J10" s="452">
        <f>IF(ISNUMBER(I10/B10),I10/B10," - ")</f>
        <v>69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669</v>
      </c>
      <c r="D11" s="452">
        <f>IF(ISNUMBER(C11/Datos!BH11),C11/Datos!BH11," - ")</f>
        <v>669</v>
      </c>
      <c r="E11" s="451">
        <f>IF(ISNUMBER(IF(J_V="SI",Datos!J11,Datos!J11+Datos!Z11)),IF(J_V="SI",Datos!J11,Datos!J11+Datos!Z11)," - ")</f>
        <v>287</v>
      </c>
      <c r="F11" s="452">
        <f>IF(ISNUMBER(E11/B11),E11/B11," - ")</f>
        <v>287</v>
      </c>
      <c r="G11" s="451">
        <f>IF(ISNUMBER(IF(J_V="SI",Datos!K11,Datos!K11+Datos!AA11)),IF(J_V="SI",Datos!K11,Datos!K11+Datos!AA11)," - ")</f>
        <v>243</v>
      </c>
      <c r="H11" s="452">
        <f>IF(ISNUMBER(G11/B11),G11/B11," - ")</f>
        <v>243</v>
      </c>
      <c r="I11" s="451">
        <f>IF(ISNUMBER(IF(J_V="SI",Datos!L11,Datos!L11+Datos!AB11)),IF(J_V="SI",Datos!L11,Datos!L11+Datos!AB11)," - ")</f>
        <v>713</v>
      </c>
      <c r="J11" s="452">
        <f>IF(ISNUMBER(I11/B11),I11/B11," - ")</f>
        <v>713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4</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4</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13415</v>
      </c>
      <c r="D14" s="1147" t="str">
        <f>IF(ISNUMBER(C14/Datos!BI14),C14/Datos!BI14," - ")</f>
        <v xml:space="preserve"> - </v>
      </c>
      <c r="E14" s="1146">
        <f>SUBTOTAL(9,E8:E13)</f>
        <v>4880</v>
      </c>
      <c r="F14" s="1147">
        <f>IF(ISNUMBER(E14/B14),E14/B14," - ")</f>
        <v>697.14285714285711</v>
      </c>
      <c r="G14" s="1146">
        <f>SUBTOTAL(9,G8:G13)</f>
        <v>2690</v>
      </c>
      <c r="H14" s="1147">
        <f>IF(ISNUMBER(G14/B14),G14/B14," - ")</f>
        <v>384.28571428571428</v>
      </c>
      <c r="I14" s="1146">
        <f>SUBTOTAL(9,I8:I13)</f>
        <v>15605</v>
      </c>
      <c r="J14" s="1147">
        <f>IF(ISNUMBER(I14/B14),I14/B14," - ")</f>
        <v>2229.2857142857142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1721</v>
      </c>
      <c r="D16" s="452">
        <f>IF(ISNUMBER(C16/Datos!BH16),C16/Datos!BH16," - ")</f>
        <v>430.25</v>
      </c>
      <c r="E16" s="451">
        <f>IF(ISNUMBER(IF(D_I="SI",Datos!J16,Datos!J16+Datos!AD16)),IF(D_I="SI",Datos!J16,Datos!J16+Datos!AD16)," - ")</f>
        <v>2729</v>
      </c>
      <c r="F16" s="452">
        <f>IF(ISNUMBER(E16/B16),E16/B16," - ")</f>
        <v>682.25</v>
      </c>
      <c r="G16" s="451">
        <f>IF(ISNUMBER(IF(D_I="SI",Datos!K16,Datos!K16+Datos!AE16)),IF(D_I="SI",Datos!K16,Datos!K16+Datos!AE16)," - ")</f>
        <v>2601</v>
      </c>
      <c r="H16" s="452">
        <f>IF(ISNUMBER(G16/B16),G16/B16," - ")</f>
        <v>650.25</v>
      </c>
      <c r="I16" s="451">
        <f>IF(ISNUMBER(IF(D_I="SI",Datos!L16,Datos!L16+Datos!AF16)),IF(D_I="SI",Datos!L16,Datos!L16+Datos!AF16)," - ")</f>
        <v>1878</v>
      </c>
      <c r="J16" s="452">
        <f>IF(ISNUMBER(I16/B16),I16/B16," - ")</f>
        <v>469.5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152</v>
      </c>
      <c r="D18" s="452">
        <f>IF(ISNUMBER(C18/Datos!BH18),C18/Datos!BH18," - ")</f>
        <v>152</v>
      </c>
      <c r="E18" s="451">
        <f>IF(ISNUMBER(IF(D_I="SI",Datos!J18,Datos!J18+Datos!AD18)),IF(D_I="SI",Datos!J18,Datos!J18+Datos!AD18)," - ")</f>
        <v>269</v>
      </c>
      <c r="F18" s="452">
        <f>IF(ISNUMBER(E18/B18),E18/B18," - ")</f>
        <v>269</v>
      </c>
      <c r="G18" s="451">
        <f>IF(ISNUMBER(IF(D_I="SI",Datos!K18,Datos!K18+Datos!AE18)),IF(D_I="SI",Datos!K18,Datos!K18+Datos!AE18)," - ")</f>
        <v>215</v>
      </c>
      <c r="H18" s="452">
        <f>IF(ISNUMBER(G18/B18),G18/B18," - ")</f>
        <v>215</v>
      </c>
      <c r="I18" s="451">
        <f>IF(ISNUMBER(IF(D_I="SI",Datos!L18,Datos!L18+Datos!AF18)),IF(D_I="SI",Datos!L18,Datos!L18+Datos!AF18)," - ")</f>
        <v>208</v>
      </c>
      <c r="J18" s="452">
        <f>IF(ISNUMBER(I18/B18),I18/B18," - ")</f>
        <v>208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1874</v>
      </c>
      <c r="D23" s="1147" t="str">
        <f>IF(ISNUMBER(C23/Datos!BI23),C23/Datos!BI23," - ")</f>
        <v xml:space="preserve"> - </v>
      </c>
      <c r="E23" s="1146">
        <f>SUBTOTAL(9,E15:E22)</f>
        <v>2998</v>
      </c>
      <c r="F23" s="1147">
        <f>IF(ISNUMBER(E23/B23),E23/B23," - ")</f>
        <v>599.6</v>
      </c>
      <c r="G23" s="1146">
        <f>SUBTOTAL(9,G15:G22)</f>
        <v>2816</v>
      </c>
      <c r="H23" s="1147">
        <f>IF(ISNUMBER(G23/B23),G23/B23," - ")</f>
        <v>563.20000000000005</v>
      </c>
      <c r="I23" s="1146">
        <f>SUBTOTAL(9,I15:I22)</f>
        <v>2087</v>
      </c>
      <c r="J23" s="1147">
        <f>IF(ISNUMBER(I23/B23),I23/B23," - ")</f>
        <v>417.4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15289</v>
      </c>
      <c r="D31" s="1085" t="str">
        <f>IF(ISNUMBER(C31/Datos!BI31),C31/Datos!BI31," - ")</f>
        <v xml:space="preserve"> - </v>
      </c>
      <c r="E31" s="1084">
        <f>SUBTOTAL(9,E9:E30)</f>
        <v>7878</v>
      </c>
      <c r="F31" s="1085">
        <f>IF(ISNUMBER(E31/B31),E31/B31," - ")</f>
        <v>716.18181818181813</v>
      </c>
      <c r="G31" s="1084">
        <f>SUBTOTAL(9,G9:G30)</f>
        <v>5506</v>
      </c>
      <c r="H31" s="1085">
        <f>IF(ISNUMBER(G31/B31),G31/B31," - ")</f>
        <v>500.54545454545456</v>
      </c>
      <c r="I31" s="1084">
        <f>SUBTOTAL(9,I9:I30)</f>
        <v>17692</v>
      </c>
      <c r="J31" s="1085">
        <f>IF(ISNUMBER(I31/B31),I31/B31," - ")</f>
        <v>1608.3636363636363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cvkmiL3+ZzPmfnj/3J2YwxDia9TWm72WDKog8eg6XniqzV6jho2RsDQqgNFmqF+s0olDmLmTWlkERMA6WVGfg==" saltValue="my7XICRvwWVRNGmO9W/TG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ALCOBENDAS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3 al 3</v>
      </c>
      <c r="D5" s="1882" t="s">
        <v>542</v>
      </c>
      <c r="E5" s="1882" t="s">
        <v>744</v>
      </c>
      <c r="F5" s="1893" t="s">
        <v>523</v>
      </c>
      <c r="G5" s="1882" t="s">
        <v>173</v>
      </c>
      <c r="H5" s="1882" t="s">
        <v>893</v>
      </c>
      <c r="I5" s="1882" t="s">
        <v>894</v>
      </c>
      <c r="J5" s="1882" t="s">
        <v>897</v>
      </c>
      <c r="K5" s="1882" t="s">
        <v>898</v>
      </c>
      <c r="L5" s="1882" t="s">
        <v>775</v>
      </c>
      <c r="M5" s="1882" t="s">
        <v>919</v>
      </c>
      <c r="N5" s="1882" t="s">
        <v>899</v>
      </c>
      <c r="O5" s="1882" t="s">
        <v>895</v>
      </c>
      <c r="P5" s="1882" t="s">
        <v>225</v>
      </c>
      <c r="Q5" s="1882" t="s">
        <v>874</v>
      </c>
      <c r="R5" s="1882" t="s">
        <v>920</v>
      </c>
      <c r="S5" s="1882" t="str">
        <f>"Ingreso Computable 2003" &amp; IF(OR(EXACT(LEFT(boletin,2),"04"),EXACT(LEFT(boletin,2),"14"),EXACT(LEFT(boletin,2),"17"))," (Civil + Penal)","")</f>
        <v>Ingreso Computable 2003</v>
      </c>
      <c r="T5" s="1882" t="s">
        <v>896</v>
      </c>
      <c r="U5" s="1888" t="str">
        <f>"% Ingreso Computable 2003" &amp; IF(OR(EXACT(LEFT(boletin,2),"04"),EXACT(LEFT(boletin,2),"14"),EXACT(LEFT(boletin,2),"17"))," (Civil + Penal)","")</f>
        <v>% Ingreso Computable 2003</v>
      </c>
      <c r="V5" s="1888" t="s">
        <v>900</v>
      </c>
      <c r="W5" s="1882" t="s">
        <v>1024</v>
      </c>
      <c r="X5" s="1882" t="s">
        <v>1025</v>
      </c>
      <c r="Y5" s="1902" t="s">
        <v>865</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901</v>
      </c>
      <c r="AC5" s="1939" t="s">
        <v>902</v>
      </c>
      <c r="AD5" s="1939" t="s">
        <v>903</v>
      </c>
      <c r="AE5" s="1939" t="s">
        <v>904</v>
      </c>
      <c r="AF5" s="1882" t="s">
        <v>905</v>
      </c>
      <c r="AG5" s="1882" t="s">
        <v>906</v>
      </c>
      <c r="AH5" s="1882" t="s">
        <v>907</v>
      </c>
      <c r="AI5" s="1882" t="s">
        <v>908</v>
      </c>
      <c r="AJ5" s="1882" t="s">
        <v>239</v>
      </c>
      <c r="AK5" s="1911" t="s">
        <v>710</v>
      </c>
      <c r="AL5" s="1911" t="s">
        <v>240</v>
      </c>
      <c r="AM5" s="1882" t="s">
        <v>754</v>
      </c>
      <c r="AN5" s="1882" t="s">
        <v>318</v>
      </c>
      <c r="AO5" s="1882" t="s">
        <v>319</v>
      </c>
      <c r="AP5" s="1882" t="s">
        <v>909</v>
      </c>
      <c r="AQ5" s="1882" t="s">
        <v>910</v>
      </c>
      <c r="AR5" s="1882" t="s">
        <v>911</v>
      </c>
      <c r="AS5" s="1882" t="s">
        <v>912</v>
      </c>
      <c r="AT5" s="1882" t="s">
        <v>913</v>
      </c>
      <c r="AU5" s="1882" t="s">
        <v>914</v>
      </c>
      <c r="AV5" s="1882" t="s">
        <v>915</v>
      </c>
      <c r="AW5" s="1882" t="s">
        <v>916</v>
      </c>
      <c r="AX5" s="1882" t="s">
        <v>1104</v>
      </c>
      <c r="AY5" s="1882" t="s">
        <v>1108</v>
      </c>
      <c r="AZ5" s="1882" t="s">
        <v>917</v>
      </c>
      <c r="BA5" s="1882" t="s">
        <v>918</v>
      </c>
      <c r="BB5" s="1882" t="s">
        <v>709</v>
      </c>
      <c r="BC5" s="1708" t="s">
        <v>925</v>
      </c>
      <c r="BD5" s="1708" t="s">
        <v>926</v>
      </c>
      <c r="BE5" s="1893" t="s">
        <v>927</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317</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72</v>
      </c>
      <c r="G10" s="906">
        <f>IF(ISNUMBER(Datos!I10),Datos!I10," - ")</f>
        <v>72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69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6.9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1</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-0.25416666666666665</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72</v>
      </c>
      <c r="G14" s="1256">
        <f t="shared" si="0"/>
        <v>72</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63</v>
      </c>
      <c r="AE14" s="1257">
        <f t="shared" si="1"/>
        <v>0</v>
      </c>
      <c r="AF14" s="1257">
        <f t="shared" si="1"/>
        <v>69</v>
      </c>
      <c r="AG14" s="1257">
        <f t="shared" si="1"/>
        <v>0</v>
      </c>
      <c r="AH14" s="1257">
        <f t="shared" si="1"/>
        <v>179</v>
      </c>
      <c r="AI14" s="1257">
        <f t="shared" si="1"/>
        <v>0</v>
      </c>
      <c r="AJ14" s="1257">
        <f t="shared" si="1"/>
        <v>0</v>
      </c>
      <c r="AK14" s="1257">
        <f t="shared" si="1"/>
        <v>0</v>
      </c>
      <c r="AL14" s="1257">
        <f t="shared" si="1"/>
        <v>5</v>
      </c>
      <c r="AM14" s="1257">
        <f t="shared" si="1"/>
        <v>16</v>
      </c>
      <c r="AN14" s="1257">
        <f t="shared" si="1"/>
        <v>0</v>
      </c>
      <c r="AO14" s="1257">
        <f t="shared" si="1"/>
        <v>0</v>
      </c>
      <c r="AP14" s="1262">
        <f>IF(ISNUMBER(((Datos!L14/Datos!K14)*11)/factor_trimestre),((Datos!L14/Datos!K14)*11)/factor_trimestre," - ")</f>
        <v>13.030199914929817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-0.27777777777777779</v>
      </c>
      <c r="AU14" s="1257" t="str">
        <f>IF(ISNUMBER((DatosP!#REF!-DatosP!#REF!+DatosP!#REF!)/(DatosP!#REF!+DatosP!#REF!-DatosP!#REF!-DatosP!#REF!)),(DatosP!#REF!-DatosP!#REF!+DatosP!#REF!)/(DatosP!#REF!+DatosP!#REF!-DatosP!#REF!-DatosP!#REF!)," - ")</f>
        <v xml:space="preserve"> - </v>
      </c>
      <c r="AV14" s="1263">
        <f>SUBTOTAL(9,AV9:AV13)</f>
        <v>-0.25416666666666665</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1.4822443181818181</v>
      </c>
      <c r="AQ23" s="1262">
        <f>IF(ISNUMBER(((Datos!M23/Datos!L23)*11)/factor_trimestre),((Datos!M23/Datos!L23)*11)/factor_trimestre," - ")</f>
        <v>0.26449448969813127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-9.3023255813953487E-2</v>
      </c>
      <c r="AW23" s="1265">
        <f>IF(ISNUMBER((Datos!Q23-Datos!R23)/(Datos!S23-Datos!Q23+Datos!R23)),(Datos!Q23-Datos!R23)/(Datos!S23-Datos!Q23+Datos!R23)," - ")</f>
        <v>-0.12188796680497925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760</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72</v>
      </c>
      <c r="G31" s="1278">
        <f t="shared" si="8"/>
        <v>72</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63</v>
      </c>
      <c r="AE31" s="1284">
        <f t="shared" si="9"/>
        <v>0</v>
      </c>
      <c r="AF31" s="1285">
        <f t="shared" si="9"/>
        <v>69</v>
      </c>
      <c r="AG31" s="1285">
        <f t="shared" si="9"/>
        <v>0</v>
      </c>
      <c r="AH31" s="1285">
        <f t="shared" si="9"/>
        <v>179</v>
      </c>
      <c r="AI31" s="1285">
        <f t="shared" si="9"/>
        <v>0</v>
      </c>
      <c r="AJ31" s="1286">
        <f t="shared" si="9"/>
        <v>0</v>
      </c>
      <c r="AK31" s="1286">
        <f t="shared" si="9"/>
        <v>0</v>
      </c>
      <c r="AL31" s="1278">
        <f t="shared" si="9"/>
        <v>5</v>
      </c>
      <c r="AM31" s="1278">
        <f t="shared" si="9"/>
        <v>16</v>
      </c>
      <c r="AN31" s="1278">
        <f t="shared" si="9"/>
        <v>0</v>
      </c>
      <c r="AO31" s="1278">
        <f t="shared" si="9"/>
        <v>0</v>
      </c>
      <c r="AP31" s="1278">
        <f>IF(ISNUMBER(((Datos!L31/Datos!K31)*11)/factor_trimestre),((Datos!L31/Datos!K31)*11)/factor_trimestre," - ")</f>
        <v>6.7365976388620092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-0.27777777777777779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2.1767743241875064E-2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2.6034165586355513</v>
      </c>
      <c r="F33" s="1006">
        <f>IF(ISNUMBER(STDEV(F8:F30)),STDEV(F8:F30),"-")</f>
        <v>39.436024140371963</v>
      </c>
      <c r="G33" s="1007">
        <f>IF(ISNUMBER(STDEV(G8:G30)),STDEV(G8:G30),"-")</f>
        <v>39.436024140371963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2.5819888974716112</v>
      </c>
      <c r="AM33" s="1006"/>
      <c r="AN33" s="1006">
        <f>IF(ISNUMBER(STDEV(AN8:AN30)),STDEV(AN8:AN30),"-")</f>
        <v>0</v>
      </c>
      <c r="AO33" s="1012">
        <f>IF(ISNUMBER(STDEV(AO8:AO30)),STDEV(AO8:AO30),"-")</f>
        <v>0</v>
      </c>
      <c r="AP33" s="1065">
        <f>IF(ISNUMBER(STDEV(AP8:AP30)),STDEV(AP8:AP30),"-")</f>
        <v>5.7776394558294344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A/06aZSQ2GKdR8ND6HDEaRAVa6SVflqwwaWEaMVPwQQVAo5mIaW0phR8ZHNx2ksZMpdA4hgY+9TXO1M3GcIrA==" saltValue="DBwFJ8IDYoFDR8KYEWUJ1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276</v>
      </c>
      <c r="B3" s="439" t="str">
        <f>Criterios!A10 &amp;"  "&amp;Criterios!B10</f>
        <v>Provincias  MADRID</v>
      </c>
      <c r="C3" s="463"/>
      <c r="F3" s="436"/>
      <c r="G3" s="436"/>
      <c r="H3" s="436"/>
    </row>
    <row r="4" spans="1:15" ht="13.5" thickBot="1">
      <c r="A4" s="436"/>
      <c r="B4" s="439" t="str">
        <f>Criterios!A11 &amp;"  "&amp;Criterios!B11</f>
        <v>Resumenes por Partidos Judiciales  ALCOBENDAS</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v6+gzlpovqPejzawkuL6wauJS5lIIvguTssLfkKT8s6uQbpUeFB0uQRswvjGhLl5gQaC0oCHXK9ZQiNElBYlg==" saltValue="8XiByfVpd8ksH+BQJJZ64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ALCOBENDAS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657</v>
      </c>
      <c r="E9" s="452">
        <f t="shared" ref="E9:E14" si="0">IF(ISNUMBER(D9/B9),D9/B9," - ")</f>
        <v>131.4</v>
      </c>
      <c r="F9" s="451">
        <f>IF(ISNUMBER(Datos!N9),Datos!N9," - ")</f>
        <v>1168</v>
      </c>
      <c r="G9" s="452">
        <f t="shared" ref="G9:G14" si="1">IF(ISNUMBER(F9/B9),F9/B9," - ")</f>
        <v>233.6</v>
      </c>
      <c r="H9" s="451">
        <f>IF(ISNUMBER(Datos!O9),Datos!O9," - ")</f>
        <v>806</v>
      </c>
      <c r="I9" s="452">
        <f>IF(ISNUMBER(H9/B9),H9/B9," - ")</f>
        <v>161.19999999999999</v>
      </c>
    </row>
    <row r="10" spans="1:9">
      <c r="A10" s="450" t="str">
        <f>Datos!A10</f>
        <v>Jdos. Violencia contra la mujer</v>
      </c>
      <c r="B10" s="480">
        <f>Datos!AO10</f>
        <v>1</v>
      </c>
      <c r="C10" s="458">
        <f>Datos!AQ10</f>
        <v>1</v>
      </c>
      <c r="D10" s="451">
        <f>IF(ISNUMBER(Datos!M10),Datos!M10," - ")</f>
        <v>5</v>
      </c>
      <c r="E10" s="452">
        <f>IF(ISNUMBER(D10/B10),D10/B10," - ")</f>
        <v>5</v>
      </c>
      <c r="F10" s="451">
        <f>IF(ISNUMBER(Datos!N10),Datos!N10," - ")</f>
        <v>15</v>
      </c>
      <c r="G10" s="452">
        <f>IF(ISNUMBER(F10/B10),F10/B10," - ")</f>
        <v>15</v>
      </c>
      <c r="H10" s="451">
        <f>IF(ISNUMBER(Datos!O10),Datos!O10," - ")</f>
        <v>3</v>
      </c>
      <c r="I10" s="452">
        <f t="shared" ref="I10:I13" si="2">IF(ISNUMBER(H10/B10),H10/B10," - ")</f>
        <v>3</v>
      </c>
    </row>
    <row r="11" spans="1:9">
      <c r="A11" s="450" t="str">
        <f>Datos!A11</f>
        <v xml:space="preserve">Jdos. Familia                                   </v>
      </c>
      <c r="B11" s="480">
        <f>Datos!AO11</f>
        <v>1</v>
      </c>
      <c r="C11" s="458">
        <f>Datos!AQ11</f>
        <v>1</v>
      </c>
      <c r="D11" s="451">
        <f>IF(ISNUMBER(Datos!M11),Datos!M11," - ")</f>
        <v>90</v>
      </c>
      <c r="E11" s="452">
        <f t="shared" si="0"/>
        <v>90</v>
      </c>
      <c r="F11" s="451">
        <f>IF(ISNUMBER(Datos!N11),Datos!N11," - ")</f>
        <v>108</v>
      </c>
      <c r="G11" s="452">
        <f t="shared" si="1"/>
        <v>108</v>
      </c>
      <c r="H11" s="451">
        <f>IF(ISNUMBER(Datos!O11),Datos!O11," - ")</f>
        <v>53</v>
      </c>
      <c r="I11" s="452">
        <f t="shared" si="2"/>
        <v>53</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1</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752</v>
      </c>
      <c r="E14" s="1147">
        <f t="shared" si="0"/>
        <v>107.42857142857143</v>
      </c>
      <c r="F14" s="1146">
        <f>SUBTOTAL(9,F9:F13)</f>
        <v>1292</v>
      </c>
      <c r="G14" s="1147">
        <f t="shared" si="1"/>
        <v>184.57142857142858</v>
      </c>
      <c r="H14" s="1146">
        <f>SUBTOTAL(9,H9:H13)</f>
        <v>862</v>
      </c>
      <c r="I14" s="1147">
        <f>IF(ISNUMBER(H14/B14),H14/B14," - ")</f>
        <v>123.14285714285714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260</v>
      </c>
      <c r="E16" s="452">
        <f t="shared" ref="E16:E23" si="3">IF(ISNUMBER(D16/B16),D16/B16," - ")</f>
        <v>65</v>
      </c>
      <c r="F16" s="451">
        <f>IF(ISNUMBER(Datos!N16),Datos!N16," - ")</f>
        <v>1541</v>
      </c>
      <c r="G16" s="452">
        <f t="shared" ref="G16:G23" si="4">IF(ISNUMBER(F16/B16),F16/B16," - ")</f>
        <v>385.25</v>
      </c>
      <c r="H16" s="451">
        <f>IF(ISNUMBER(Datos!O16),Datos!O16," - ")</f>
        <v>37</v>
      </c>
      <c r="I16" s="452">
        <f t="shared" ref="I16:I22" si="5">IF(ISNUMBER(H16/B16),H16/B16," - ")</f>
        <v>9.25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16</v>
      </c>
      <c r="E18" s="452">
        <f>IF(ISNUMBER(D18/B18),D18/B18," - ")</f>
        <v>16</v>
      </c>
      <c r="F18" s="451">
        <f>IF(ISNUMBER(Datos!N18),Datos!N18," - ")</f>
        <v>128</v>
      </c>
      <c r="G18" s="452">
        <f>IF(ISNUMBER(F18/B18),F18/B18," - ")</f>
        <v>128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276</v>
      </c>
      <c r="E23" s="1147">
        <f t="shared" si="3"/>
        <v>55.2</v>
      </c>
      <c r="F23" s="1146">
        <f>SUBTOTAL(9,F16:F22)</f>
        <v>1669</v>
      </c>
      <c r="G23" s="1147">
        <f t="shared" si="4"/>
        <v>333.8</v>
      </c>
      <c r="H23" s="1146">
        <f>SUBTOTAL(9,H16:H22)</f>
        <v>37</v>
      </c>
      <c r="I23" s="1147">
        <f>IF(ISNUMBER(H23/B23),H23/B23," - ")</f>
        <v>7.4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1028</v>
      </c>
      <c r="E31" s="1085">
        <f>IF(ISNUMBER(D31/B31),D31/B31," - ")</f>
        <v>93.454545454545453</v>
      </c>
      <c r="F31" s="1084">
        <f>SUBTOTAL(9,F8:F30)</f>
        <v>2961</v>
      </c>
      <c r="G31" s="1085">
        <f>IF(ISNUMBER(F31/B31),F31/B31," - ")</f>
        <v>269.18181818181819</v>
      </c>
      <c r="H31" s="1084">
        <f>SUBTOTAL(9,H8:H30)</f>
        <v>899</v>
      </c>
      <c r="I31" s="1085">
        <f>IF(ISNUMBER(H31/B31),H31/B31," - ")</f>
        <v>81.727272727272734</v>
      </c>
    </row>
    <row r="34" spans="1:1">
      <c r="A34" s="439" t="str">
        <f>Criterios!A4</f>
        <v>Fecha Informe: 06 may. 2023</v>
      </c>
    </row>
    <row r="39" spans="1:1">
      <c r="A39" s="462"/>
    </row>
  </sheetData>
  <sheetProtection algorithmName="SHA-512" hashValue="yoY6fjKbbMKXbE+4F30r/5MuwhwZuLoLJSKBEYggWjalKKSAO1jcZ2/BX5aXUyT0NY36LRTZaRXoHI1GSNIOVA==" saltValue="OV11BfqTckVLdcMA4Xnb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ALCOBENDAS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568</v>
      </c>
      <c r="C9" s="489">
        <f>IF(ISNUMBER(Datos!Q9),Datos!Q9," - ")</f>
        <v>247</v>
      </c>
      <c r="D9" s="456">
        <f>IF(ISNUMBER(Datos!R9),Datos!R9," - ")</f>
        <v>9346</v>
      </c>
    </row>
    <row r="10" spans="1:4">
      <c r="A10" s="450" t="str">
        <f>Datos!A10</f>
        <v>Jdos. Violencia contra la mujer</v>
      </c>
      <c r="B10" s="488">
        <f>IF(ISNUMBER(Datos!P10),Datos!P10," - ")</f>
        <v>3</v>
      </c>
      <c r="C10" s="489">
        <f>IF(ISNUMBER(Datos!Q10),Datos!Q10," - ")</f>
        <v>3</v>
      </c>
      <c r="D10" s="456">
        <f>IF(ISNUMBER(Datos!R10),Datos!R10," - ")</f>
        <v>52</v>
      </c>
    </row>
    <row r="11" spans="1:4">
      <c r="A11" s="450" t="str">
        <f>Datos!A11</f>
        <v xml:space="preserve">Jdos. Familia                                   </v>
      </c>
      <c r="B11" s="488">
        <f>IF(ISNUMBER(Datos!P11),Datos!P11," - ")</f>
        <v>6</v>
      </c>
      <c r="C11" s="489">
        <f>IF(ISNUMBER(Datos!Q11),Datos!Q11," - ")</f>
        <v>11</v>
      </c>
      <c r="D11" s="456">
        <f>IF(ISNUMBER(Datos!R11),Datos!R11," - ")</f>
        <v>125</v>
      </c>
    </row>
    <row r="12" spans="1:4">
      <c r="A12" s="450" t="str">
        <f>Datos!A12</f>
        <v xml:space="preserve">Jdos. 1ª Instª. e Instr.                        </v>
      </c>
      <c r="B12" s="488">
        <f>IF(ISNUMBER(Datos!P12),Datos!P12," - ")</f>
        <v>2</v>
      </c>
      <c r="C12" s="489">
        <f>IF(ISNUMBER(Datos!Q12),Datos!Q12," - ")</f>
        <v>63</v>
      </c>
      <c r="D12" s="456">
        <f>IF(ISNUMBER(Datos!R12),Datos!R12," - ")</f>
        <v>179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579</v>
      </c>
      <c r="C14" s="1150">
        <f>SUBTOTAL(9,C9:C13)</f>
        <v>324</v>
      </c>
      <c r="D14" s="1148">
        <f>SUBTOTAL(9,D9:D13)</f>
        <v>9702</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114</v>
      </c>
      <c r="C16" s="489">
        <f>IF(ISNUMBER(Datos!Q16),Datos!Q16," - ")</f>
        <v>154</v>
      </c>
      <c r="D16" s="456">
        <f>IF(ISNUMBER(Datos!R16),Datos!R16," - ")</f>
        <v>388</v>
      </c>
    </row>
    <row r="17" spans="1:4">
      <c r="A17" s="450" t="str">
        <f>Datos!A17</f>
        <v xml:space="preserve">Jdos. 1ª Instª. e Instr.                        </v>
      </c>
      <c r="B17" s="488">
        <f>IF(ISNUMBER(Datos!P17),Datos!P17," - ")</f>
        <v>0</v>
      </c>
      <c r="C17" s="489">
        <f>IF(ISNUMBER(Datos!Q17),Datos!Q17," - ")</f>
        <v>0</v>
      </c>
      <c r="D17" s="456">
        <f>IF(ISNUMBER(Datos!R17),Datos!R17," - ")</f>
        <v>1</v>
      </c>
    </row>
    <row r="18" spans="1:4">
      <c r="A18" s="450" t="str">
        <f>Datos!A18</f>
        <v>Jdos. Violencia contra la mujer</v>
      </c>
      <c r="B18" s="488">
        <f>IF(ISNUMBER(Datos!P18),Datos!P18," - ")</f>
        <v>1</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115</v>
      </c>
      <c r="C23" s="1150">
        <f>SUBTOTAL(9,C16:C22)</f>
        <v>155</v>
      </c>
      <c r="D23" s="1148">
        <f>SUBTOTAL(9,D16:D22)</f>
        <v>390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694</v>
      </c>
      <c r="C31" s="1089">
        <f>SUBTOTAL(9,C8:C30)</f>
        <v>479</v>
      </c>
      <c r="D31" s="1090">
        <f>SUBTOTAL(9,D8:D30)</f>
        <v>10092</v>
      </c>
    </row>
    <row r="32" spans="1:4" ht="7.5" customHeight="1"/>
    <row r="33" spans="1:1" ht="6" customHeight="1"/>
    <row r="34" spans="1:1">
      <c r="A34" s="439" t="str">
        <f>Criterios!A4</f>
        <v>Fecha Informe: 06 may. 2023</v>
      </c>
    </row>
    <row r="39" spans="1:1">
      <c r="A39" s="462"/>
    </row>
  </sheetData>
  <sheetProtection algorithmName="SHA-512" hashValue="wbU6vnh08wRI0fZFhQdRUWv4BU3vxTxsJRLM+l1onjh1qQFFaa35d6QRQTbQC8qqdYp/EqJO+mq2cbQL4BDQBw==" saltValue="tl1RZSa8j8BHUsg9QcD/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ALCOBENDAS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0.6450272656452869</v>
      </c>
      <c r="C9" s="515">
        <f>IF(ISNUMBER(
   IF(J_V="SI",(Datos!J9-Datos!T9)/Datos!T9,(Datos!J9+Datos!Z9-(Datos!T9+Datos!AH9))/(Datos!T9+Datos!AH9))
     ),IF(J_V="SI",(Datos!J9-Datos!T9)/Datos!T9,(Datos!J9+Datos!Z9-(Datos!T9+Datos!AH9))/(Datos!T9+Datos!AH9))," - ")</f>
        <v>0.28611579539066889</v>
      </c>
      <c r="D9" s="515">
        <f>IF(ISNUMBER(
   IF(J_V="SI",(Datos!K9-Datos!U9)/Datos!U9,(Datos!K9+Datos!AA9-(Datos!U9+Datos!AI9))/(Datos!U9+Datos!AI9))
     ),IF(J_V="SI",(Datos!K9-Datos!U9)/Datos!U9,(Datos!K9+Datos!AA9-(Datos!U9+Datos!AI9))/(Datos!U9+Datos!AI9))," - ")</f>
        <v>0.18854064642507345</v>
      </c>
      <c r="E9" s="515">
        <f>IF(ISNUMBER(
   IF(J_V="SI",(Datos!L9-Datos!V9)/Datos!V9,(Datos!L9+Datos!AB9-(Datos!V9+Datos!AJ9))/(Datos!V9+Datos!AJ9))
     ),IF(J_V="SI",(Datos!L9-Datos!V9)/Datos!V9,(Datos!L9+Datos!AB9-(Datos!V9+Datos!AJ9))/(Datos!V9+Datos!AJ9))," - ")</f>
        <v>0.61251360174102287</v>
      </c>
      <c r="F9" s="515">
        <f>IF(ISNUMBER((Datos!M9-Datos!W9)/Datos!W9),(Datos!M9-Datos!W9)/Datos!W9," - ")</f>
        <v>0.70207253886010368</v>
      </c>
      <c r="G9" s="516">
        <f>IF(ISNUMBER((Datos!N9-Datos!X9)/Datos!X9),(Datos!N9-Datos!X9)/Datos!X9," - ")</f>
        <v>9.4657919400187446E-2</v>
      </c>
      <c r="H9" s="514">
        <f>IF(ISNUMBER(((NºAsuntos!G9/NºAsuntos!E9)-Datos!BD9)/Datos!BD9),((NºAsuntos!G9/NºAsuntos!E9)-Datos!BD9)/Datos!BD9," - ")</f>
        <v>-7.5868090039245745E-2</v>
      </c>
      <c r="I9" s="515">
        <f>IF(ISNUMBER(((NºAsuntos!I9/NºAsuntos!G9)-Datos!BE9)/Datos!BE9),((NºAsuntos!I9/NºAsuntos!G9)-Datos!BE9)/Datos!BE9," - ")</f>
        <v>0.3567172537104113</v>
      </c>
      <c r="J9" s="521">
        <f>IF(ISNUMBER((('Resol  Asuntos'!D9/NºAsuntos!G9)-Datos!BF9)/Datos!BF9),(('Resol  Asuntos'!D9/NºAsuntos!G9)-Datos!BF9)/Datos!BF9," - ")</f>
        <v>-0.48193182831848358</v>
      </c>
      <c r="K9" s="522">
        <f>IF(ISNUMBER((((NºAsuntos!C9+NºAsuntos!E9)/NºAsuntos!G9)-Datos!BG9)/Datos!BG9),(((NºAsuntos!C9+NºAsuntos!E9)/NºAsuntos!G9)-Datos!BG9)/Datos!BG9," - ")</f>
        <v>0.28865289179384379</v>
      </c>
    </row>
    <row r="10" spans="1:11">
      <c r="A10" s="450" t="str">
        <f>Datos!A10</f>
        <v>Jdos. Violencia contra la mujer</v>
      </c>
      <c r="B10" s="514">
        <f>IF(ISNUMBER((Datos!I10-Datos!S10)/Datos!S10),(Datos!I10-Datos!S10)/Datos!S10," - ")</f>
        <v>0.26315789473684209</v>
      </c>
      <c r="C10" s="515">
        <f>IF(ISNUMBER((Datos!J10-Datos!T10)/Datos!T10),(Datos!J10-Datos!T10)/Datos!T10," - ")</f>
        <v>-0.19047619047619047</v>
      </c>
      <c r="D10" s="515">
        <f>IF(ISNUMBER((Datos!K10-Datos!U10)/Datos!U10),(Datos!K10-Datos!U10)/Datos!U10," - ")</f>
        <v>-0.2857142857142857</v>
      </c>
      <c r="E10" s="515">
        <f>IF(ISNUMBER((Datos!L10-Datos!V10)/Datos!V10),(Datos!L10-Datos!V10)/Datos!V10," - ")</f>
        <v>0.38</v>
      </c>
      <c r="F10" s="515">
        <f>IF(ISNUMBER((Datos!M10-Datos!W10)/Datos!W10),(Datos!M10-Datos!W10)/Datos!W10," - ")</f>
        <v>-0.375</v>
      </c>
      <c r="G10" s="516">
        <f>IF(ISNUMBER((Datos!N10-Datos!X10)/Datos!X10),(Datos!N10-Datos!X10)/Datos!X10," - ")</f>
        <v>-6.25E-2</v>
      </c>
      <c r="H10" s="514">
        <f>IF(ISNUMBER(((NºAsuntos!G10/NºAsuntos!E10)-Datos!BD10)/Datos!BD10),((NºAsuntos!G10/NºAsuntos!E10)-Datos!BD10)/Datos!BD10," - ")</f>
        <v>-0.11764705882352933</v>
      </c>
      <c r="I10" s="515">
        <f>IF(ISNUMBER(((NºAsuntos!I10/NºAsuntos!G10)-Datos!BE10)/Datos!BE10),((NºAsuntos!I10/NºAsuntos!G10)-Datos!BE10)/Datos!BE10," - ")</f>
        <v>0.93200000000000005</v>
      </c>
      <c r="J10" s="521">
        <f>IF(ISNUMBER((('Resol  Asuntos'!D10/NºAsuntos!G10)-Datos!BF10)/Datos!BF10),(('Resol  Asuntos'!D10/NºAsuntos!G10)-Datos!BF10)/Datos!BF10," - ")</f>
        <v>-0.12499999999999994</v>
      </c>
      <c r="K10" s="522">
        <f>IF(ISNUMBER((((NºAsuntos!C10+NºAsuntos!E10)/NºAsuntos!G10)-Datos!BG10)/Datos!BG10),(((NºAsuntos!C10+NºAsuntos!E10)/NºAsuntos!G10)-Datos!BG10)/Datos!BG10," - ")</f>
        <v>0.59743589743589753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v>
      </c>
      <c r="C11" s="515">
        <f>IF(ISNUMBER(
   IF(J_V="SI",(Datos!J11-Datos!T11)/Datos!T11,(Datos!J11+Datos!Z11-(Datos!T11+Datos!AH11))/(Datos!T11+Datos!AH11))
     ),IF(J_V="SI",(Datos!J11-Datos!T11)/Datos!T11,(Datos!J11+Datos!Z11-(Datos!T11+Datos!AH11))/(Datos!T11+Datos!AH11))," - ")</f>
        <v>9.9616858237547887E-2</v>
      </c>
      <c r="D11" s="515">
        <f>IF(ISNUMBER(
   IF(J_V="SI",(Datos!K11-Datos!U11)/Datos!U11,(Datos!K11+Datos!AA11-(Datos!U11+Datos!AI11))/(Datos!U11+Datos!AI11))
     ),IF(J_V="SI",(Datos!K11-Datos!U11)/Datos!U11,(Datos!K11+Datos!AA11-(Datos!U11+Datos!AI11))/(Datos!U11+Datos!AI11))," - ")</f>
        <v>-4.7058823529411764E-2</v>
      </c>
      <c r="E11" s="515">
        <f>IF(ISNUMBER(
   IF(J_V="SI",(Datos!L11-Datos!V11)/Datos!V11,(Datos!L11+Datos!AB11-(Datos!V11+Datos!AJ11))/(Datos!V11+Datos!AJ11))
     ),IF(J_V="SI",(Datos!L11-Datos!V11)/Datos!V11,(Datos!L11+Datos!AB11-(Datos!V11+Datos!AJ11))/(Datos!V11+Datos!AJ11))," - ")</f>
        <v>5.6296296296296296E-2</v>
      </c>
      <c r="F11" s="515">
        <f>IF(ISNUMBER((Datos!M11-Datos!W11)/Datos!W11),(Datos!M11-Datos!W11)/Datos!W11," - ")</f>
        <v>-0.15094339622641509</v>
      </c>
      <c r="G11" s="516">
        <f>IF(ISNUMBER((Datos!N11-Datos!X11)/Datos!X11),(Datos!N11-Datos!X11)/Datos!X11," - ")</f>
        <v>9.0909090909090912E-2</v>
      </c>
      <c r="H11" s="514">
        <f>IF(ISNUMBER(((NºAsuntos!G11/NºAsuntos!E11)-Datos!BD11)/Datos!BD11),((NºAsuntos!G11/NºAsuntos!E11)-Datos!BD11)/Datos!BD11," - ")</f>
        <v>-0.13338798934207827</v>
      </c>
      <c r="I11" s="515">
        <f>IF(ISNUMBER(((NºAsuntos!I11/NºAsuntos!G11)-Datos!BE11)/Datos!BE11),((NºAsuntos!I11/NºAsuntos!G11)-Datos!BE11)/Datos!BE11," - ")</f>
        <v>0.10845907636031091</v>
      </c>
      <c r="J11" s="521">
        <f>IF(ISNUMBER((('Resol  Asuntos'!D11/NºAsuntos!G11)-Datos!BF11)/Datos!BF11),(('Resol  Asuntos'!D11/NºAsuntos!G11)-Datos!BF11)/Datos!BF11," - ")</f>
        <v>-4.6015712682379424E-2</v>
      </c>
      <c r="K11" s="522">
        <f>IF(ISNUMBER((((NºAsuntos!C11+NºAsuntos!E11)/NºAsuntos!G11)-Datos!BG11)/Datos!BG11),(((NºAsuntos!C11+NºAsuntos!E11)/NºAsuntos!G11)-Datos!BG11)/Datos!BG11," - ")</f>
        <v>7.872029735829017E-2</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-0.69230769230769229</v>
      </c>
      <c r="C12" s="515" t="str">
        <f>IF(ISNUMBER(
   IF(J_V="SI",(Datos!J12-Datos!T12)/Datos!T12,(Datos!J12+Datos!Z12-(Datos!T12+Datos!AH12))/(Datos!T12+Datos!AH12))
     ),IF(J_V="SI",(Datos!J12-Datos!T12)/Datos!T12,(Datos!J12+Datos!Z12-(Datos!T12+Datos!AH12))/(Datos!T12+Datos!AH12))," - ")</f>
        <v xml:space="preserve"> - </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-0.55555555555555558</v>
      </c>
      <c r="F12" s="515" t="str">
        <f>IF(ISNUMBER((Datos!M12-Datos!W12)/Datos!W12),(Datos!M12-Datos!W12)/Datos!W12," - ")</f>
        <v xml:space="preserve"> - </v>
      </c>
      <c r="G12" s="516">
        <f>IF(ISNUMBER((Datos!N12-Datos!X12)/Datos!X12),(Datos!N12-Datos!X12)/Datos!X12," - ")</f>
        <v>-0.83333333333333337</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0.589266674564625</v>
      </c>
      <c r="C14" s="1152">
        <f>IF(ISNUMBER(
   IF(J_V="SI",(Datos!J14-Datos!T14)/Datos!T14,(Datos!J14+Datos!Z14-(Datos!T14+Datos!AH14))/(Datos!T14+Datos!AH14))
     ),IF(J_V="SI",(Datos!J14-Datos!T14)/Datos!T14,(Datos!J14+Datos!Z14-(Datos!T14+Datos!AH14))/(Datos!T14+Datos!AH14))," - ")</f>
        <v>0.27083333333333331</v>
      </c>
      <c r="D14" s="1152">
        <f>IF(ISNUMBER(
   IF(J_V="SI",(Datos!K14-Datos!U14)/Datos!U14,(Datos!K14+Datos!AA14-(Datos!U14+Datos!AI14))/(Datos!U14+Datos!AI14))
     ),IF(J_V="SI",(Datos!K14-Datos!U14)/Datos!U14,(Datos!K14+Datos!AA14-(Datos!U14+Datos!AI14))/(Datos!U14+Datos!AI14))," - ")</f>
        <v>0.15500214684413913</v>
      </c>
      <c r="E14" s="1152">
        <f>IF(ISNUMBER(
   IF(J_V="SI",(Datos!L14-Datos!V14)/Datos!V14,(Datos!L14+Datos!AB14-(Datos!V14+Datos!AJ14))/(Datos!V14+Datos!AJ14))
     ),IF(J_V="SI",(Datos!L14-Datos!V14)/Datos!V14,(Datos!L14+Datos!AB14-(Datos!V14+Datos!AJ14))/(Datos!V14+Datos!AJ14))," - ")</f>
        <v>0.5724506247480855</v>
      </c>
      <c r="F14" s="1153">
        <f>IF(ISNUMBER((Datos!M14-Datos!W14)/Datos!W14),(Datos!M14-Datos!W14)/Datos!W14," - ")</f>
        <v>0.504</v>
      </c>
      <c r="G14" s="1154">
        <f>IF(ISNUMBER((Datos!N14-Datos!X14)/Datos!X14),(Datos!N14-Datos!X14)/Datos!X14," - ")</f>
        <v>8.7542087542087546E-2</v>
      </c>
      <c r="H14" s="1154">
        <f>IF(ISNUMBER(((NºAsuntos!G14/NºAsuntos!E14)-Datos!BD14)/Datos!BD14),((NºAsuntos!G14/NºAsuntos!E14)-Datos!BD14)/Datos!BD14," - ")</f>
        <v>-9.1145851663628263E-2</v>
      </c>
      <c r="I14" s="1154">
        <f>IF(ISNUMBER(((NºAsuntos!I14/NºAsuntos!G14)-Datos!BE14)/Datos!BE14),((NºAsuntos!I14/NºAsuntos!G14)-Datos!BE14)/Datos!BE14," - ")</f>
        <v>0.36142658179862125</v>
      </c>
      <c r="J14" s="1154">
        <f>IF(ISNUMBER((('Resol  Asuntos'!D14/NºAsuntos!G14)-Datos!BF14)/Datos!BF14),(('Resol  Asuntos'!D14/NºAsuntos!G14)-Datos!BF14)/Datos!BF14," - ")</f>
        <v>-0.44823640602356501</v>
      </c>
      <c r="K14" s="1154">
        <f>IF(ISNUMBER((((NºAsuntos!C14+NºAsuntos!E14)/NºAsuntos!G14)-Datos!BG14)/Datos!BG14),(((NºAsuntos!C14+NºAsuntos!E14)/NºAsuntos!G14)-Datos!BG14)/Datos!BG14," - ")</f>
        <v>0.28978075057157526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0.12778505897771952</v>
      </c>
      <c r="C16" s="515">
        <f>IF(ISNUMBER(
   IF(D_I="SI",(Datos!J16-Datos!T16)/Datos!T16,(Datos!J16+Datos!AD16-(Datos!T16+Datos!AL16))/(Datos!T16+Datos!AL16))
     ),IF(D_I="SI",(Datos!J16-Datos!T16)/Datos!T16,(Datos!J16+Datos!AD16-(Datos!T16+Datos!AL16))/(Datos!T16+Datos!AL16))," - ")</f>
        <v>0.10575364667747164</v>
      </c>
      <c r="D16" s="515">
        <f>IF(ISNUMBER(
   IF(D_I="SI",(Datos!K16-Datos!U16)/Datos!U16,(Datos!K16+Datos!AE16-(Datos!U16+Datos!AM16))/(Datos!U16+Datos!AM16))
     ),IF(D_I="SI",(Datos!K16-Datos!U16)/Datos!U16,(Datos!K16+Datos!AE16-(Datos!U16+Datos!AM16))/(Datos!U16+Datos!AM16))," - ")</f>
        <v>4.457831325301205E-2</v>
      </c>
      <c r="E16" s="515">
        <f>IF(ISNUMBER(
   IF(D_I="SI",(Datos!L16-Datos!V16)/Datos!V16,(Datos!L16+Datos!AF16-(Datos!V16+Datos!AN16))/(Datos!V16+Datos!AN16))
     ),IF(D_I="SI",(Datos!L16-Datos!V16)/Datos!V16,(Datos!L16+Datos!AF16-(Datos!V16+Datos!AN16))/(Datos!V16+Datos!AN16))," - ")</f>
        <v>0.19313850063532401</v>
      </c>
      <c r="F16" s="515">
        <f>IF(ISNUMBER((Datos!M16-Datos!W16)/Datos!W16),(Datos!M16-Datos!W16)/Datos!W16," - ")</f>
        <v>-7.4733096085409248E-2</v>
      </c>
      <c r="G16" s="516">
        <f>IF(ISNUMBER((Datos!N16-Datos!X16)/Datos!X16),(Datos!N16-Datos!X16)/Datos!X16," - ")</f>
        <v>4.2625169147496617E-2</v>
      </c>
      <c r="H16" s="514">
        <f>IF(ISNUMBER(((NºAsuntos!G16/NºAsuntos!E16)-Datos!BD16)/Datos!BD16),((NºAsuntos!G16/NºAsuntos!E16)-Datos!BD16)/Datos!BD16," - ")</f>
        <v>-5.5324559505887265E-2</v>
      </c>
      <c r="I16" s="515">
        <f>IF(ISNUMBER(((NºAsuntos!I16/NºAsuntos!G16)-Datos!BE16)/Datos!BE16),((NºAsuntos!I16/NºAsuntos!G16)-Datos!BE16)/Datos!BE16," - ")</f>
        <v>0.14222024858975651</v>
      </c>
      <c r="J16" s="521">
        <f>IF(ISNUMBER((('Resol  Asuntos'!D16/NºAsuntos!G16)-Datos!BF16)/Datos!BF16),(('Resol  Asuntos'!D16/NºAsuntos!G16)-Datos!BF16)/Datos!BF16," - ")</f>
        <v>-0.11421968829399037</v>
      </c>
      <c r="K16" s="522">
        <f>IF(ISNUMBER((((NºAsuntos!C16+NºAsuntos!E16)/NºAsuntos!G16)-Datos!BG16)/Datos!BG16),(((NºAsuntos!C16+NºAsuntos!E16)/NºAsuntos!G16)-Datos!BG16)/Datos!BG16," - ")</f>
        <v>6.6623002554581673E-2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-8.4337349397590355E-2</v>
      </c>
      <c r="C18" s="515">
        <f>IF(ISNUMBER(
   IF(D_I="SI",(Datos!J18-Datos!T18)/Datos!T18,(Datos!J18+Datos!AD18-(Datos!T18+Datos!AL18))/(Datos!T18+Datos!AL18))
     ),IF(D_I="SI",(Datos!J18-Datos!T18)/Datos!T18,(Datos!J18+Datos!AD18-(Datos!T18+Datos!AL18))/(Datos!T18+Datos!AL18))," - ")</f>
        <v>1.1278195488721804E-2</v>
      </c>
      <c r="D18" s="515">
        <f>IF(ISNUMBER(
   IF(D_I="SI",(Datos!K18-Datos!U18)/Datos!U18,(Datos!K18+Datos!AE18-(Datos!U18+Datos!AM18))/(Datos!U18+Datos!AM18))
     ),IF(D_I="SI",(Datos!K18-Datos!U18)/Datos!U18,(Datos!K18+Datos!AE18-(Datos!U18+Datos!AM18))/(Datos!U18+Datos!AM18))," - ")</f>
        <v>-7.7253218884120178E-2</v>
      </c>
      <c r="E18" s="515">
        <f>IF(ISNUMBER(
   IF(D_I="SI",(Datos!L18-Datos!V18)/Datos!V18,(Datos!L18+Datos!AF18-(Datos!V18+Datos!AN18))/(Datos!V18+Datos!AN18))
     ),IF(D_I="SI",(Datos!L18-Datos!V18)/Datos!V18,(Datos!L18+Datos!AF18-(Datos!V18+Datos!AN18))/(Datos!V18+Datos!AN18))," - ")</f>
        <v>3.482587064676617E-2</v>
      </c>
      <c r="F18" s="515">
        <f>IF(ISNUMBER((Datos!M18-Datos!W18)/Datos!W18),(Datos!M18-Datos!W18)/Datos!W18," - ")</f>
        <v>2.2000000000000002</v>
      </c>
      <c r="G18" s="516">
        <f>IF(ISNUMBER((Datos!N18-Datos!X18)/Datos!X18),(Datos!N18-Datos!X18)/Datos!X18," - ")</f>
        <v>-8.5714285714285715E-2</v>
      </c>
      <c r="H18" s="514">
        <f>IF(ISNUMBER(((NºAsuntos!G18/NºAsuntos!E18)-Datos!BD18)/Datos!BD18),((NºAsuntos!G18/NºAsuntos!E18)-Datos!BD18)/Datos!BD18," - ")</f>
        <v>-8.7544075179092767E-2</v>
      </c>
      <c r="I18" s="515">
        <f>IF(ISNUMBER(((NºAsuntos!I18/NºAsuntos!G18)-Datos!BE18)/Datos!BE18),((NºAsuntos!I18/NºAsuntos!G18)-Datos!BE18)/Datos!BE18," - ")</f>
        <v>0.1214624551660303</v>
      </c>
      <c r="J18" s="521">
        <f>IF(ISNUMBER((('Resol  Asuntos'!D18/NºAsuntos!G18)-Datos!BF18)/Datos!BF18),(('Resol  Asuntos'!D18/NºAsuntos!G18)-Datos!BF18)/Datos!BF18," - ")</f>
        <v>2.4679069767441857</v>
      </c>
      <c r="K18" s="522">
        <f>IF(ISNUMBER((((NºAsuntos!C18+NºAsuntos!E18)/NºAsuntos!G18)-Datos!BG18)/Datos!BG18),(((NºAsuntos!C18+NºAsuntos!E18)/NºAsuntos!G18)-Datos!BG18)/Datos!BG18," - ")</f>
        <v>5.6126184323858783E-2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0.10691080921441229</v>
      </c>
      <c r="C23" s="1152">
        <f>IF(ISNUMBER(
   IF(Criterios!B14="SI",(Datos!J23-Datos!T23)/Datos!T23,(Datos!J23+Datos!AD23-(Datos!T23+Datos!AL23))/(Datos!T23+Datos!AL23))
     ),IF(Criterios!B14="SI",(Datos!J23-Datos!T23)/Datos!T23,(Datos!J23+Datos!AD23-(Datos!T23+Datos!AL23))/(Datos!T23+Datos!AL23))," - ")</f>
        <v>9.6561814191660572E-2</v>
      </c>
      <c r="D23" s="1152">
        <f>IF(ISNUMBER(
   IF(Criterios!B14="SI",(Datos!K23-Datos!U23)/Datos!U23,(Datos!K23+Datos!AE23-(Datos!U23+Datos!AM23))/(Datos!U23+Datos!AM23))
     ),IF(Criterios!B14="SI",(Datos!K23-Datos!U23)/Datos!U23,(Datos!K23+Datos!AE23-(Datos!U23+Datos!AM23))/(Datos!U23+Datos!AM23))," - ")</f>
        <v>3.4153507161219246E-2</v>
      </c>
      <c r="E23" s="1152">
        <f>IF(ISNUMBER(
   IF(Criterios!B14="SI",(Datos!L23-Datos!V23)/Datos!V23,(Datos!L23+Datos!AF23-(Datos!V23+Datos!AN23))/(Datos!V23+Datos!AN23))
     ),IF(Criterios!B14="SI",(Datos!L23-Datos!V23)/Datos!V23,(Datos!L23+Datos!AF23-(Datos!V23+Datos!AN23))/(Datos!V23+Datos!AN23))," - ")</f>
        <v>0.1751126126126126</v>
      </c>
      <c r="F23" s="1153">
        <f>IF(ISNUMBER((Datos!M23-Datos!W23)/Datos!W23),(Datos!M23-Datos!W23)/Datos!W23," - ")</f>
        <v>-3.4965034965034968E-2</v>
      </c>
      <c r="G23" s="1154">
        <f>IF(ISNUMBER((Datos!N23-Datos!X23)/Datos!X23),(Datos!N23-Datos!X23)/Datos!X23," - ")</f>
        <v>3.1520395550061801E-2</v>
      </c>
      <c r="H23" s="1154">
        <f>IF(ISNUMBER(((NºAsuntos!G23/NºAsuntos!E23)-Datos!BD23)/Datos!BD23),((NºAsuntos!G23/NºAsuntos!E23)-Datos!BD23)/Datos!BD23," - ")</f>
        <v>-5.6912712281930233E-2</v>
      </c>
      <c r="I23" s="1154">
        <f>IF(ISNUMBER(((NºAsuntos!I23/NºAsuntos!G23)-Datos!BE23)/Datos!BE23),((NºAsuntos!I23/NºAsuntos!G23)-Datos!BE23)/Datos!BE23," - ")</f>
        <v>0.1363038509034602</v>
      </c>
      <c r="J23" s="1154">
        <f>IF(ISNUMBER((('Resol  Asuntos'!D23/NºAsuntos!G23)-Datos!BF23)/Datos!BF23),(('Resol  Asuntos'!D23/NºAsuntos!G23)-Datos!BF23)/Datos!BF23," - ")</f>
        <v>-6.6835863000635806E-2</v>
      </c>
      <c r="K23" s="1154">
        <f>IF(ISNUMBER((((NºAsuntos!C23+NºAsuntos!E23)/NºAsuntos!G23)-Datos!BG23)/Datos!BG23),(((NºAsuntos!C23+NºAsuntos!E23)/NºAsuntos!G23)-Datos!BG23)/Datos!BG23," - ")</f>
        <v>6.4174256114339759E-2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0.50868363923426085</v>
      </c>
      <c r="C31" s="1092">
        <f>IF(ISNUMBER(
   IF(J_V="SI",(Datos!J31-Datos!T31)/Datos!T31,(Datos!J31+Datos!Z31-(Datos!T31+Datos!AH31))/(Datos!T31+Datos!AH31))
     ),IF(J_V="SI",(Datos!J31-Datos!T31)/Datos!T31,(Datos!J31+Datos!Z31-(Datos!T31+Datos!AH31))/(Datos!T31+Datos!AH31))," - ")</f>
        <v>0.19835716458777</v>
      </c>
      <c r="D31" s="1092">
        <f>IF(ISNUMBER(
   IF(J_V="SI",(Datos!K31-Datos!U31)/Datos!U31,(Datos!K31+Datos!AA31-(Datos!U31+Datos!AI31))/(Datos!U31+Datos!AI31))
     ),IF(J_V="SI",(Datos!K31-Datos!U31)/Datos!U31,(Datos!K31+Datos!AA31-(Datos!U31+Datos!AI31))/(Datos!U31+Datos!AI31))," - ")</f>
        <v>8.9865399841646876E-2</v>
      </c>
      <c r="E31" s="1092">
        <f>IF(ISNUMBER(
   IF(J_V="SI",(Datos!L31-Datos!V31)/Datos!V31,(Datos!L31+Datos!AB31-(Datos!V31+Datos!AJ31))/(Datos!V31+Datos!AJ31))
     ),IF(J_V="SI",(Datos!L31-Datos!V31)/Datos!V31,(Datos!L31+Datos!AB31-(Datos!V31+Datos!AJ31))/(Datos!V31+Datos!AJ31))," - ")</f>
        <v>0.51213675213675214</v>
      </c>
      <c r="F31" s="1093">
        <f>IF(ISNUMBER((Datos!M31-Datos!W31)/Datos!W31),(Datos!M31-Datos!W31)/Datos!W31," - ")</f>
        <v>0.30788804071246817</v>
      </c>
      <c r="G31" s="1094">
        <f>IF(ISNUMBER((Datos!N31-Datos!X31)/Datos!X31),(Datos!N31-Datos!X31)/Datos!X31," - ")</f>
        <v>5.5238774055595151E-2</v>
      </c>
      <c r="H31" s="1095">
        <f>IF(ISNUMBER((Tasas!B31-Datos!BD31)/Datos!BD31),(Tasas!B31-Datos!BD31)/Datos!BD31," - ")</f>
        <v>-9.0533747326861438E-2</v>
      </c>
      <c r="I31" s="1096">
        <f>IF(ISNUMBER((Tasas!C31-Datos!BE31)/Datos!BE31),(Tasas!C31-Datos!BE31)/Datos!BE31," - ")</f>
        <v>0.38745275550215619</v>
      </c>
      <c r="J31" s="1097">
        <f>IF(ISNUMBER((Tasas!D31-Datos!BF31)/Datos!BF31),(Tasas!D31-Datos!BF31)/Datos!BF31," - ")</f>
        <v>-0.35659226273805728</v>
      </c>
      <c r="K31" s="1097">
        <f>IF(ISNUMBER((Tasas!E31-Datos!BG31)/Datos!BG31),(Tasas!E31-Datos!BG31)/Datos!BG31," - ")</f>
        <v>0.27225002154482547</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RIojr7iEF8Zy6NhaKCrt0iYm2Fd3FnNuDyAE1PCIE040JyZoM/+vFR+TiPj3y/wRjRrNJcYApPRfJDB8ZZg==" saltValue="pTBTceBaXKJI5j4+dN0L9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ALCOBENDAS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0.53037587412587417</v>
      </c>
      <c r="C9" s="498">
        <f>IF(ISNUMBER(NºAsuntos!I9/NºAsuntos!G9),NºAsuntos!I9/NºAsuntos!G9," - ")</f>
        <v>6.1058920477956322</v>
      </c>
      <c r="D9" s="499">
        <f>IF(ISNUMBER('Resol  Asuntos'!D9/NºAsuntos!G9),'Resol  Asuntos'!D9/NºAsuntos!G9," - ")</f>
        <v>0.27070457354758964</v>
      </c>
      <c r="E9" s="500">
        <f>IF(ISNUMBER((NºAsuntos!C9+NºAsuntos!E9)/NºAsuntos!G9),(NºAsuntos!C9+NºAsuntos!E9)/NºAsuntos!G9," - ")</f>
        <v>7.1058920477956322</v>
      </c>
      <c r="G9" s="523"/>
    </row>
    <row r="10" spans="1:7">
      <c r="A10" s="450" t="str">
        <f>Datos!A10</f>
        <v>Jdos. Violencia contra la mujer</v>
      </c>
      <c r="B10" s="497">
        <f>IF(ISNUMBER(NºAsuntos!G10/NºAsuntos!E10),NºAsuntos!G10/NºAsuntos!E10," - ")</f>
        <v>1.1764705882352942</v>
      </c>
      <c r="C10" s="498">
        <f>IF(ISNUMBER(NºAsuntos!I10/NºAsuntos!G10),NºAsuntos!I10/NºAsuntos!G10," - ")</f>
        <v>3.45</v>
      </c>
      <c r="D10" s="499">
        <f>IF(ISNUMBER('Resol  Asuntos'!D10/NºAsuntos!G10),'Resol  Asuntos'!D10/NºAsuntos!G10," - ")</f>
        <v>0.25</v>
      </c>
      <c r="E10" s="500">
        <f>IF(ISNUMBER((NºAsuntos!C10+NºAsuntos!E10)/NºAsuntos!G10),(NºAsuntos!C10+NºAsuntos!E10)/NºAsuntos!G10," - ")</f>
        <v>4.45</v>
      </c>
      <c r="G10" s="523"/>
    </row>
    <row r="11" spans="1:7">
      <c r="A11" s="450" t="str">
        <f>Datos!A11</f>
        <v xml:space="preserve">Jdos. Familia                                   </v>
      </c>
      <c r="B11" s="497">
        <f>IF(ISNUMBER(NºAsuntos!G11/NºAsuntos!E11),NºAsuntos!G11/NºAsuntos!E11," - ")</f>
        <v>0.84668989547038331</v>
      </c>
      <c r="C11" s="498">
        <f>IF(ISNUMBER(NºAsuntos!I11/NºAsuntos!G11),NºAsuntos!I11/NºAsuntos!G11," - ")</f>
        <v>2.9341563786008229</v>
      </c>
      <c r="D11" s="499">
        <f>IF(ISNUMBER('Resol  Asuntos'!D11/NºAsuntos!G11),'Resol  Asuntos'!D11/NºAsuntos!G11," - ")</f>
        <v>0.37037037037037035</v>
      </c>
      <c r="E11" s="500">
        <f>IF(ISNUMBER((NºAsuntos!C11+NºAsuntos!E11)/NºAsuntos!G11),(NºAsuntos!C11+NºAsuntos!E11)/NºAsuntos!G11," - ")</f>
        <v>3.9341563786008229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0.55122950819672134</v>
      </c>
      <c r="C14" s="1156">
        <f>IF(ISNUMBER(NºAsuntos!I14/NºAsuntos!G14),NºAsuntos!I14/NºAsuntos!G14," - ")</f>
        <v>5.8011152416356877</v>
      </c>
      <c r="D14" s="1157">
        <f>IF(ISNUMBER('Resol  Asuntos'!D14/NºAsuntos!G14),'Resol  Asuntos'!D14/NºAsuntos!G14," - ")</f>
        <v>0.27955390334572489</v>
      </c>
      <c r="E14" s="1158">
        <f>IF(ISNUMBER((NºAsuntos!C14+NºAsuntos!E14)/NºAsuntos!G14),(NºAsuntos!C14+NºAsuntos!E14)/NºAsuntos!G14," - ")</f>
        <v>6.8011152416356877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0.95309637229754485</v>
      </c>
      <c r="C16" s="498">
        <f>IF(ISNUMBER(NºAsuntos!I16/NºAsuntos!G16),NºAsuntos!I16/NºAsuntos!G16," - ")</f>
        <v>0.72202998846597466</v>
      </c>
      <c r="D16" s="499">
        <f>IF(ISNUMBER('Resol  Asuntos'!D16/NºAsuntos!G16),'Resol  Asuntos'!D16/NºAsuntos!G16," - ")</f>
        <v>9.9961553248750487E-2</v>
      </c>
      <c r="E16" s="500">
        <f>IF(ISNUMBER((NºAsuntos!C16+NºAsuntos!E16)/NºAsuntos!G16),(NºAsuntos!C16+NºAsuntos!E16)/NºAsuntos!G16," - ")</f>
        <v>1.7108804306036141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0.7992565055762082</v>
      </c>
      <c r="C18" s="498">
        <f>IF(ISNUMBER(NºAsuntos!I18/NºAsuntos!G18),NºAsuntos!I18/NºAsuntos!G18," - ")</f>
        <v>0.96744186046511627</v>
      </c>
      <c r="D18" s="499">
        <f>IF(ISNUMBER('Resol  Asuntos'!D18/NºAsuntos!G18),'Resol  Asuntos'!D18/NºAsuntos!G18," - ")</f>
        <v>7.441860465116279E-2</v>
      </c>
      <c r="E18" s="500">
        <f>IF(ISNUMBER((NºAsuntos!C18+NºAsuntos!E18)/NºAsuntos!G18),(NºAsuntos!C18+NºAsuntos!E18)/NºAsuntos!G18," - ")</f>
        <v>1.9581395348837209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0.93929286190793859</v>
      </c>
      <c r="C23" s="1156">
        <f>IF(ISNUMBER(NºAsuntos!I23/NºAsuntos!G23),NºAsuntos!I23/NºAsuntos!G23," - ")</f>
        <v>0.74112215909090906</v>
      </c>
      <c r="D23" s="1159">
        <f>IF(ISNUMBER('Resol  Asuntos'!D23/NºAsuntos!G23),'Resol  Asuntos'!D23/NºAsuntos!G23," - ")</f>
        <v>9.8011363636363633E-2</v>
      </c>
      <c r="E23" s="1158">
        <f>IF(ISNUMBER((NºAsuntos!C23+NºAsuntos!E23)/NºAsuntos!G23),(NºAsuntos!C23+NºAsuntos!E23)/NºAsuntos!G23," - ")</f>
        <v>1.7301136363636365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0.69890835237369886</v>
      </c>
      <c r="C31" s="1099">
        <f>IF(ISNUMBER(NºAsuntos!I31/NºAsuntos!G31),NºAsuntos!I31/NºAsuntos!G31," - ")</f>
        <v>3.2132219397021431</v>
      </c>
      <c r="D31" s="1100">
        <f>IF(ISNUMBER('Resol  Asuntos'!D31/NºAsuntos!G31),'Resol  Asuntos'!D31/NºAsuntos!G31," - ")</f>
        <v>0.18670541227751544</v>
      </c>
      <c r="E31" s="1101">
        <f>IF(ISNUMBER((NºAsuntos!C31+NºAsuntos!E31)/NºAsuntos!G31),(NºAsuntos!C31+NºAsuntos!E31)/NºAsuntos!G31," - ")</f>
        <v>4.2075917181256814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RNUkn5ij+ugmwb4oplWONA6yR6UWSlPHVV0uf0oPOe0jtC1DmIf5D4xalU/65VpYqILmp5rK8Vco2NeMfMGxg==" saltValue="XimmsvABEd8WBGS53jWQc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ALCOBENDAS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3 al 3</v>
      </c>
      <c r="D5" s="1628" t="s">
        <v>487</v>
      </c>
      <c r="E5" s="1628" t="s">
        <v>410</v>
      </c>
      <c r="F5" s="1651" t="s">
        <v>523</v>
      </c>
      <c r="G5" s="1654" t="s">
        <v>173</v>
      </c>
      <c r="H5" s="1634" t="s">
        <v>217</v>
      </c>
      <c r="I5" s="1634" t="s">
        <v>221</v>
      </c>
      <c r="J5" s="1634" t="s">
        <v>222</v>
      </c>
      <c r="K5" s="1634" t="s">
        <v>524</v>
      </c>
      <c r="L5" s="1634" t="s">
        <v>772</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1104</v>
      </c>
      <c r="AX5" s="1628" t="s">
        <v>415</v>
      </c>
      <c r="AY5" s="1628" t="s">
        <v>995</v>
      </c>
      <c r="AZ5" s="1628" t="s">
        <v>996</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317</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568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247</v>
      </c>
      <c r="Y9" s="374">
        <f>SUM(W9:X9)</f>
        <v>247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9346</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657</v>
      </c>
      <c r="AJ9" s="243" t="str">
        <f>IF(ISNUMBER(Datos!BW9),Datos!BW9," - ")</f>
        <v xml:space="preserve"> - </v>
      </c>
      <c r="AK9" s="242" t="str">
        <f>IF(ISNUMBER(Datos!BX9),Datos!BX9," - ")</f>
        <v xml:space="preserve"> - </v>
      </c>
      <c r="AL9" s="266">
        <f>IF(ISNUMBER(NºAsuntos!G9/NºAsuntos!E9),NºAsuntos!G9/NºAsuntos!E9," - ")</f>
        <v>0.53037587412587417</v>
      </c>
      <c r="AM9" s="284">
        <f>IF(ISNUMBER(((NºAsuntos!I9/NºAsuntos!G9)*11)/factor_trimestre),((NºAsuntos!I9/NºAsuntos!G9)*11)/factor_trimestre," - ")</f>
        <v>12.211784095591264</v>
      </c>
      <c r="AN9" s="267">
        <f>IF(ISNUMBER('Resol  Asuntos'!D9/NºAsuntos!G9),'Resol  Asuntos'!D9/NºAsuntos!G9," - ")</f>
        <v>0.27070457354758964</v>
      </c>
      <c r="AO9" s="268">
        <f>IF(ISNUMBER((NºAsuntos!C9+NºAsuntos!E9)/NºAsuntos!G9),(NºAsuntos!C9+NºAsuntos!E9)/NºAsuntos!G9," - ")</f>
        <v>7.1058920477956322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72</v>
      </c>
      <c r="G10" s="373">
        <f>IF(ISNUMBER(Datos!I10),Datos!I10," - ")</f>
        <v>72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3</v>
      </c>
      <c r="Y10" s="374">
        <f t="shared" ref="Y10:Y13" si="0">SUM(W10:X10)</f>
        <v>23</v>
      </c>
      <c r="Z10" s="375" t="str">
        <f>IF(ISNUMBER(Datos!CC10),Datos!CC10," - ")</f>
        <v xml:space="preserve"> - </v>
      </c>
      <c r="AA10" s="372">
        <f>IF(ISNUMBER(Datos!L10),Datos!L10,"-")</f>
        <v>69</v>
      </c>
      <c r="AB10" s="374">
        <f>IF(ISNUMBER(Datos!R10),Datos!R10," - ")</f>
        <v>52</v>
      </c>
      <c r="AC10" s="374">
        <f t="shared" ref="AC10:AC13" si="1">IF(ISNUMBER(AA10+AB10),AA10+AB10," - ")</f>
        <v>121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1.1764705882352942</v>
      </c>
      <c r="AM10" s="284">
        <f>IF(ISNUMBER(((NºAsuntos!I10/NºAsuntos!G10)*11)/factor_trimestre),((NºAsuntos!I10/NºAsuntos!G10)*11)/factor_trimestre," - ")</f>
        <v>6.9</v>
      </c>
      <c r="AN10" s="267">
        <f>IF(ISNUMBER('Resol  Asuntos'!D10/NºAsuntos!G10),'Resol  Asuntos'!D10/NºAsuntos!G10," - ")</f>
        <v>0.25</v>
      </c>
      <c r="AO10" s="268">
        <f>IF(ISNUMBER((NºAsuntos!C10+NºAsuntos!E10)/NºAsuntos!G10),(NºAsuntos!C10+NºAsuntos!E10)/NºAsuntos!G10," - ")</f>
        <v>4.45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11</v>
      </c>
      <c r="Y11" s="374">
        <f t="shared" si="0"/>
        <v>11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125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90</v>
      </c>
      <c r="AJ11" s="245" t="str">
        <f>IF(ISNUMBER(Datos!BW11),Datos!BW11," - ")</f>
        <v xml:space="preserve"> - </v>
      </c>
      <c r="AK11" s="246" t="str">
        <f>IF(ISNUMBER(Datos!BX11),Datos!BX11," - ")</f>
        <v xml:space="preserve"> - </v>
      </c>
      <c r="AL11" s="266">
        <f>IF(ISNUMBER(NºAsuntos!G11/NºAsuntos!E11),NºAsuntos!G11/NºAsuntos!E11," - ")</f>
        <v>0.84668989547038331</v>
      </c>
      <c r="AM11" s="284">
        <f>IF(ISNUMBER(((NºAsuntos!I11/NºAsuntos!G11)*11)/factor_trimestre),((NºAsuntos!I11/NºAsuntos!G11)*11)/factor_trimestre," - ")</f>
        <v>5.8683127572016467</v>
      </c>
      <c r="AN11" s="267">
        <f>IF(ISNUMBER('Resol  Asuntos'!D11/NºAsuntos!G11),'Resol  Asuntos'!D11/NºAsuntos!G11," - ")</f>
        <v>0.37037037037037035</v>
      </c>
      <c r="AO11" s="268">
        <f>IF(ISNUMBER((NºAsuntos!C11+NºAsuntos!E11)/NºAsuntos!G11),(NºAsuntos!C11+NºAsuntos!E11)/NºAsuntos!G11," - ")</f>
        <v>3.9341563786008229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63</v>
      </c>
      <c r="Y12" s="374">
        <f t="shared" si="0"/>
        <v>63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72</v>
      </c>
      <c r="G14" s="1163">
        <f t="shared" si="5"/>
        <v>72</v>
      </c>
      <c r="H14" s="1162">
        <f t="shared" si="5"/>
        <v>0</v>
      </c>
      <c r="I14" s="1164">
        <f t="shared" si="5"/>
        <v>0</v>
      </c>
      <c r="J14" s="1164">
        <f t="shared" si="5"/>
        <v>0</v>
      </c>
      <c r="K14" s="1164">
        <f t="shared" si="5"/>
        <v>0</v>
      </c>
      <c r="L14" s="1164">
        <f t="shared" si="5"/>
        <v>579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324</v>
      </c>
      <c r="Y14" s="1165">
        <f t="shared" si="6"/>
        <v>344</v>
      </c>
      <c r="Z14" s="1165">
        <f t="shared" si="6"/>
        <v>0</v>
      </c>
      <c r="AA14" s="1165">
        <f t="shared" si="6"/>
        <v>69</v>
      </c>
      <c r="AB14" s="1165">
        <f t="shared" si="6"/>
        <v>9702</v>
      </c>
      <c r="AC14" s="1165">
        <f t="shared" si="6"/>
        <v>121</v>
      </c>
      <c r="AD14" s="1165">
        <f t="shared" si="6"/>
        <v>0</v>
      </c>
      <c r="AE14" s="1169">
        <f t="shared" si="6"/>
        <v>0</v>
      </c>
      <c r="AF14" s="1162">
        <f t="shared" si="6"/>
        <v>0</v>
      </c>
      <c r="AG14" s="1170">
        <f t="shared" si="6"/>
        <v>0</v>
      </c>
      <c r="AH14" s="1167">
        <f t="shared" si="6"/>
        <v>0</v>
      </c>
      <c r="AI14" s="1162">
        <f t="shared" si="6"/>
        <v>752</v>
      </c>
      <c r="AJ14" s="1164">
        <f t="shared" si="6"/>
        <v>0</v>
      </c>
      <c r="AK14" s="1167">
        <f>SUBTOTAL(9,AK9:AK13)</f>
        <v>0</v>
      </c>
      <c r="AL14" s="1171">
        <f>IF(ISNUMBER(NºAsuntos!G14/NºAsuntos!E14),NºAsuntos!G14/NºAsuntos!E14," - ")</f>
        <v>0.55122950819672134</v>
      </c>
      <c r="AM14" s="1171">
        <f>IF(ISNUMBER(((NºAsuntos!I14/NºAsuntos!G14)*11)/factor_trimestre),((NºAsuntos!I14/NºAsuntos!G14)*11)/factor_trimestre," - ")</f>
        <v>11.602230483271375</v>
      </c>
      <c r="AN14" s="1172">
        <f>IF(ISNUMBER('Resol  Asuntos'!D14/NºAsuntos!G14),'Resol  Asuntos'!D14/NºAsuntos!G14," - ")</f>
        <v>0.27955390334572489</v>
      </c>
      <c r="AO14" s="1173">
        <f>IF(ISNUMBER((NºAsuntos!C14+NºAsuntos!E14)/NºAsuntos!G14),(NºAsuntos!C14+NºAsuntos!E14)/NºAsuntos!G14," - ")</f>
        <v>6.8011152416356877</v>
      </c>
      <c r="AP14" s="1174" t="str">
        <f t="shared" si="2"/>
        <v xml:space="preserve"> - </v>
      </c>
      <c r="AQ14" s="1174">
        <f>IF(ISNUMBER((H14-W14+K14)/(F14)),(H14-W14+K14)/(F14)," - ")</f>
        <v>-0.27777777777777779</v>
      </c>
      <c r="AR14" s="1175">
        <f>IF(ISNUMBER((Datos!P14-Datos!Q14)/(Datos!R14-Datos!P14+Datos!Q14)),(Datos!P14-Datos!Q14)/(Datos!R14-Datos!P14+Datos!Q14)," - ")</f>
        <v>2.6992696093998094E-2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1750</v>
      </c>
      <c r="G16" s="373">
        <f>IF(ISNUMBER(IF(D_I="SI",Datos!I16,Datos!I16+Datos!AC16)),IF(D_I="SI",Datos!I16,Datos!I16+Datos!AC16)," - ")</f>
        <v>1721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2601</v>
      </c>
      <c r="X16" s="240">
        <f>IF(ISNUMBER(Datos!Q16),Datos!Q16," - ")</f>
        <v>154</v>
      </c>
      <c r="Y16" s="374">
        <f>SUM(W16)</f>
        <v>2601</v>
      </c>
      <c r="Z16" s="375" t="str">
        <f>IF(ISNUMBER(Datos!CC16),Datos!CC16," - ")</f>
        <v xml:space="preserve"> - </v>
      </c>
      <c r="AA16" s="372">
        <f>IF(ISNUMBER(IF(D_I="SI",Datos!L16,Datos!L16+Datos!AF16)),IF(D_I="SI",Datos!L16,Datos!L16+Datos!AF16)," - ")</f>
        <v>1878</v>
      </c>
      <c r="AB16" s="374">
        <f>IF(ISNUMBER(Datos!R16),Datos!R16," - ")</f>
        <v>388</v>
      </c>
      <c r="AC16" s="374">
        <f t="shared" ref="AC16:AC22" si="8">IF(ISNUMBER(AA16+AB16),AA16+AB16," - ")</f>
        <v>2266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260</v>
      </c>
      <c r="AJ16" s="245" t="str">
        <f>IF(ISNUMBER(Datos!BW16),Datos!BW16," - ")</f>
        <v xml:space="preserve"> - </v>
      </c>
      <c r="AK16" s="246" t="str">
        <f>IF(ISNUMBER(Datos!BX16),Datos!BX16," - ")</f>
        <v xml:space="preserve"> - </v>
      </c>
      <c r="AL16" s="266">
        <f>IF(ISNUMBER(NºAsuntos!G16/NºAsuntos!E16),NºAsuntos!G16/NºAsuntos!E16," - ")</f>
        <v>0.95309637229754485</v>
      </c>
      <c r="AM16" s="284">
        <f>IF(ISNUMBER(((NºAsuntos!I16/NºAsuntos!G16)*11)/factor_trimestre),((NºAsuntos!I16/NºAsuntos!G16)*11)/factor_trimestre," - ")</f>
        <v>1.4440599769319493</v>
      </c>
      <c r="AN16" s="267">
        <f>IF(ISNUMBER('Resol  Asuntos'!D16/NºAsuntos!G16),'Resol  Asuntos'!D16/NºAsuntos!G16," - ")</f>
        <v>9.9961553248750487E-2</v>
      </c>
      <c r="AO16" s="268">
        <f>IF(ISNUMBER((NºAsuntos!C16+NºAsuntos!E16)/NºAsuntos!G16),(NºAsuntos!C16+NºAsuntos!E16)/NºAsuntos!G16," - ")</f>
        <v>1.7108804306036141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f>IF(ISNUMBER(AA17+W17-Datos!J17-K17),AA17+W17-Datos!J17-K17," - ")</f>
        <v>1</v>
      </c>
      <c r="G17" s="373">
        <f>IF(ISNUMBER(IF(D_I="SI",Datos!I17,Datos!I17+Datos!AC17)),IF(D_I="SI",Datos!I17,Datos!I17+Datos!AC17)," - ")</f>
        <v>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v>
      </c>
      <c r="AB17" s="374">
        <f>IF(ISNUMBER(Datos!R17),Datos!R17," - ")</f>
        <v>1</v>
      </c>
      <c r="AC17" s="374">
        <f t="shared" si="8"/>
        <v>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215</v>
      </c>
      <c r="X18" s="240">
        <f>IF(ISNUMBER(Datos!Q18),Datos!Q18," - ")</f>
        <v>1</v>
      </c>
      <c r="Y18" s="374">
        <f t="shared" si="9"/>
        <v>216</v>
      </c>
      <c r="Z18" s="375" t="str">
        <f>IF(ISNUMBER(Datos!CC18),Datos!CC18," - ")</f>
        <v xml:space="preserve"> - </v>
      </c>
      <c r="AA18" s="372">
        <f>IF(ISNUMBER(Datos!L18),Datos!L18,"-")</f>
        <v>208</v>
      </c>
      <c r="AB18" s="374">
        <f>IF(ISNUMBER(Datos!R18),Datos!R18," - ")</f>
        <v>1</v>
      </c>
      <c r="AC18" s="374">
        <f t="shared" si="8"/>
        <v>209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0.7992565055762082</v>
      </c>
      <c r="AM18" s="284">
        <f>IF(ISNUMBER(((NºAsuntos!I18/NºAsuntos!G18)*11)/factor_trimestre),((NºAsuntos!I18/NºAsuntos!G18)*11)/factor_trimestre," - ")</f>
        <v>1.9348837209302325</v>
      </c>
      <c r="AN18" s="267">
        <f>IF(ISNUMBER('Resol  Asuntos'!D18/NºAsuntos!G18),'Resol  Asuntos'!D18/NºAsuntos!G18," - ")</f>
        <v>7.441860465116279E-2</v>
      </c>
      <c r="AO18" s="268">
        <f>IF(ISNUMBER((NºAsuntos!C18+NºAsuntos!E18)/NºAsuntos!G18),(NºAsuntos!C18+NºAsuntos!E18)/NºAsuntos!G18," - ")</f>
        <v>1.9581395348837209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1751</v>
      </c>
      <c r="G23" s="1163">
        <f>SUBTOTAL(9,G16:G22)</f>
        <v>1874</v>
      </c>
      <c r="H23" s="1162">
        <f t="shared" ref="H23:O23" si="13">SUBTOTAL(9,H15:H22)</f>
        <v>0</v>
      </c>
      <c r="I23" s="1164">
        <f t="shared" si="13"/>
        <v>0</v>
      </c>
      <c r="J23" s="1164">
        <f t="shared" si="13"/>
        <v>0</v>
      </c>
      <c r="K23" s="1164">
        <f t="shared" si="13"/>
        <v>0</v>
      </c>
      <c r="L23" s="1164">
        <f t="shared" si="13"/>
        <v>115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2816</v>
      </c>
      <c r="X23" s="1164">
        <f t="shared" si="14"/>
        <v>155</v>
      </c>
      <c r="Y23" s="1165">
        <f t="shared" si="14"/>
        <v>2817</v>
      </c>
      <c r="Z23" s="1165">
        <f t="shared" si="14"/>
        <v>0</v>
      </c>
      <c r="AA23" s="1165">
        <f t="shared" si="14"/>
        <v>2087</v>
      </c>
      <c r="AB23" s="1165">
        <f t="shared" si="14"/>
        <v>390</v>
      </c>
      <c r="AC23" s="1165">
        <f t="shared" si="14"/>
        <v>2477</v>
      </c>
      <c r="AD23" s="1165">
        <f t="shared" si="14"/>
        <v>0</v>
      </c>
      <c r="AE23" s="1169">
        <f t="shared" si="14"/>
        <v>0</v>
      </c>
      <c r="AF23" s="1162">
        <f t="shared" si="14"/>
        <v>0</v>
      </c>
      <c r="AG23" s="1170">
        <f t="shared" si="14"/>
        <v>0</v>
      </c>
      <c r="AH23" s="1167">
        <f t="shared" si="14"/>
        <v>0</v>
      </c>
      <c r="AI23" s="1162">
        <f t="shared" si="14"/>
        <v>276</v>
      </c>
      <c r="AJ23" s="1164">
        <f t="shared" si="14"/>
        <v>0</v>
      </c>
      <c r="AK23" s="1167">
        <f t="shared" si="14"/>
        <v>0</v>
      </c>
      <c r="AL23" s="1171">
        <f>IF(ISNUMBER(NºAsuntos!G23/NºAsuntos!E23),NºAsuntos!G23/NºAsuntos!E23," - ")</f>
        <v>0.93929286190793859</v>
      </c>
      <c r="AM23" s="1171">
        <f>IF(ISNUMBER(((NºAsuntos!I23/NºAsuntos!G23)*11)/factor_trimestre),((NºAsuntos!I23/NºAsuntos!G23)*11)/factor_trimestre," - ")</f>
        <v>1.4822443181818181</v>
      </c>
      <c r="AN23" s="1172">
        <f>IF(ISNUMBER('Resol  Asuntos'!D23/NºAsuntos!G23),'Resol  Asuntos'!D23/NºAsuntos!G23," - ")</f>
        <v>9.8011363636363633E-2</v>
      </c>
      <c r="AO23" s="1173">
        <f>IF(ISNUMBER((NºAsuntos!C23+NºAsuntos!E23)/NºAsuntos!G23),(NºAsuntos!C23+NºAsuntos!E23)/NºAsuntos!G23," - ")</f>
        <v>1.7301136363636365</v>
      </c>
      <c r="AP23" s="1174" t="str">
        <f t="shared" si="2"/>
        <v xml:space="preserve"> - </v>
      </c>
      <c r="AQ23" s="1174">
        <f>IF(ISNUMBER((H23-W23+K23)/(F23)),(H23-W23+K23)/(F23)," - ")</f>
        <v>-1.608223872073101</v>
      </c>
      <c r="AR23" s="1175">
        <f>IF(ISNUMBER((Datos!P23-Datos!Q23)/(Datos!R23-Datos!P23+Datos!Q23)),(Datos!P23-Datos!Q23)/(Datos!R23-Datos!P23+Datos!Q23)," - ")</f>
        <v>-9.3023255813953487E-2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1823</v>
      </c>
      <c r="G31" s="1118">
        <f t="shared" si="20"/>
        <v>1946</v>
      </c>
      <c r="H31" s="1117">
        <f t="shared" si="20"/>
        <v>0</v>
      </c>
      <c r="I31" s="1119">
        <f t="shared" si="20"/>
        <v>0</v>
      </c>
      <c r="J31" s="1119">
        <f t="shared" si="20"/>
        <v>0</v>
      </c>
      <c r="K31" s="1180">
        <f t="shared" si="20"/>
        <v>0</v>
      </c>
      <c r="L31" s="1119">
        <f t="shared" si="20"/>
        <v>694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2836</v>
      </c>
      <c r="X31" s="1118">
        <f t="shared" si="21"/>
        <v>479</v>
      </c>
      <c r="Y31" s="1125">
        <f t="shared" si="21"/>
        <v>3161</v>
      </c>
      <c r="Z31" s="1125">
        <f t="shared" si="21"/>
        <v>0</v>
      </c>
      <c r="AA31" s="1125">
        <f t="shared" si="21"/>
        <v>2156</v>
      </c>
      <c r="AB31" s="1125">
        <f t="shared" si="21"/>
        <v>10092</v>
      </c>
      <c r="AC31" s="1125">
        <f t="shared" si="21"/>
        <v>2598</v>
      </c>
      <c r="AD31" s="1125">
        <f t="shared" si="21"/>
        <v>0</v>
      </c>
      <c r="AE31" s="1127">
        <f t="shared" si="21"/>
        <v>0</v>
      </c>
      <c r="AF31" s="1128">
        <f t="shared" si="21"/>
        <v>0</v>
      </c>
      <c r="AG31" s="1129">
        <f t="shared" si="21"/>
        <v>0</v>
      </c>
      <c r="AH31" s="1127">
        <f t="shared" si="21"/>
        <v>0</v>
      </c>
      <c r="AI31" s="1117">
        <f t="shared" si="21"/>
        <v>1028</v>
      </c>
      <c r="AJ31" s="1117">
        <f t="shared" si="21"/>
        <v>0</v>
      </c>
      <c r="AK31" s="1127">
        <f t="shared" si="21"/>
        <v>0</v>
      </c>
      <c r="AL31" s="1183">
        <f>IF(ISNUMBER(NºAsuntos!G31/NºAsuntos!E31),NºAsuntos!G31/NºAsuntos!E31," - ")</f>
        <v>0.69890835237369886</v>
      </c>
      <c r="AM31" s="1184">
        <f>IF(ISNUMBER(((NºAsuntos!I31/NºAsuntos!G31)*11)/factor_trimestre),((NºAsuntos!I31/NºAsuntos!G31)*11)/factor_trimestre," - ")</f>
        <v>6.4264438794042862</v>
      </c>
      <c r="AN31" s="1184">
        <f>IF(ISNUMBER('Resol  Asuntos'!D31/NºAsuntos!G31),'Resol  Asuntos'!D31/NºAsuntos!G31," - ")</f>
        <v>0.18670541227751544</v>
      </c>
      <c r="AO31" s="1185">
        <f>IF(ISNUMBER((NºAsuntos!C31+NºAsuntos!E31)/NºAsuntos!G31),(NºAsuntos!C31+NºAsuntos!E31)/NºAsuntos!G31," - ")</f>
        <v>4.2075917181256814</v>
      </c>
      <c r="AP31" s="1186" t="str">
        <f t="shared" si="2"/>
        <v xml:space="preserve"> - </v>
      </c>
      <c r="AQ31" s="1187">
        <f>IF(OR(ISNUMBER(FIND("01",Criterios!A8,1)),ISNUMBER(FIND("02",Criterios!A8,1)),ISNUMBER(FIND("03",Criterios!A8,1)),ISNUMBER(FIND("04",Criterios!A8,1))),(I31-W31+K31)/(F31-K31),(H31-W31+K31)/(F31-K31))</f>
        <v>-1.5556774547449259</v>
      </c>
      <c r="AR31" s="1188">
        <f>IF(ISNUMBER((Datos!P31-Datos!Q31)/(Datos!R31-Datos!P31+Datos!Q31)),(Datos!P31-Datos!Q31)/(Datos!R31-Datos!P31+Datos!Q31)," - ")</f>
        <v>2.1767743241875064E-2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486.5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2.2071123734961402</v>
      </c>
      <c r="F33" s="276">
        <f>IF(ISNUMBER(STDEV(F8:F30)),STDEV(F8:F30),"-")</f>
        <v>840.61731851686011</v>
      </c>
      <c r="G33" s="277">
        <f>IF(ISNUMBER(STDEV(G8:G30)),STDEV(G8:G30),"-")</f>
        <v>811.85255522697685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1237.5456124350096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276.59083663254449</v>
      </c>
      <c r="AJ33" s="276">
        <f t="shared" si="25"/>
        <v>0</v>
      </c>
      <c r="AK33" s="278">
        <f t="shared" si="25"/>
        <v>0</v>
      </c>
      <c r="AL33" s="273">
        <f t="shared" si="25"/>
        <v>0.22942844063589315</v>
      </c>
      <c r="AM33" s="274">
        <f t="shared" si="25"/>
        <v>4.6268460552798967</v>
      </c>
      <c r="AN33" s="274">
        <f t="shared" si="25"/>
        <v>0.11457871372265804</v>
      </c>
      <c r="AO33" s="275">
        <f t="shared" si="25"/>
        <v>2.3183180614168304</v>
      </c>
      <c r="AP33" s="317" t="str">
        <f t="shared" si="25"/>
        <v>-</v>
      </c>
      <c r="AQ33" s="318">
        <f t="shared" si="25"/>
        <v>0.9407674552793801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mzIXrZVGUQXNIUgq6Yqj1JQtrpSu1MK7/OYWYJqYrVxJtw7T8L50+9Rgeg3js4MVRG95/zdaIIUCRpov81ThQ==" saltValue="ObyU3DtK2rn9oOCC41gG0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ALCOBENDAS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0.70207253886010368</v>
      </c>
      <c r="I9" s="395">
        <f>IF(ISNUMBER((Tasas!C9-Datos!BE9)/Datos!BE9),(Tasas!C9-Datos!BE9)/Datos!BE9," - ")</f>
        <v>0.3567172537104113</v>
      </c>
      <c r="J9" s="394">
        <f>IF(ISNUMBER((Tasas!D9-Datos!BF9)/Datos!BF9),(Tasas!D9-Datos!BF9)/Datos!BF9," - ")</f>
        <v>-0.48193182831848358</v>
      </c>
      <c r="K9" s="396">
        <f>IF(ISNUMBER((Tasas!E9-Datos!BG9)/Datos!BG9),(Tasas!E9-Datos!BG9)/Datos!BG9," - ")</f>
        <v>0.28865289179384379</v>
      </c>
      <c r="M9" t="e">
        <f>IF(Monitorios="SI",Datos!CE9,0)</f>
        <v>#REF!</v>
      </c>
      <c r="N9" t="e">
        <f>IF(Monitorios="SI",Datos!CF9,0)</f>
        <v>#REF!</v>
      </c>
      <c r="O9" t="e">
        <f>IF(Monitorios="SI",Datos!CG9,0)</f>
        <v>#REF!</v>
      </c>
      <c r="P9" t="e">
        <f>IF(Monitorios="SI",Datos!CH9,0)</f>
        <v>#REF!</v>
      </c>
      <c r="Q9">
        <f>IF(J_V="SI",0,Datos!AG9)</f>
        <v>192</v>
      </c>
      <c r="R9">
        <f>IF(J_V="SI",0,Datos!AH9)</f>
        <v>242</v>
      </c>
      <c r="S9">
        <f>IF(J_V="SI",0,Datos!AI9)</f>
        <v>259</v>
      </c>
      <c r="T9">
        <f>IF(J_V="SI",0,Datos!AJ9)</f>
        <v>175</v>
      </c>
    </row>
    <row r="10" spans="2:20" ht="14.25">
      <c r="B10" s="300" t="s">
        <v>317</v>
      </c>
      <c r="C10" s="7" t="str">
        <f>Datos!A10</f>
        <v>Jdos. Violencia contra la mujer</v>
      </c>
      <c r="D10" s="397">
        <f>IF(ISNUMBER((Datos!I10-Datos!S10)/Datos!S10),(Datos!I10-Datos!S10)/Datos!S10," - ")</f>
        <v>0.26315789473684209</v>
      </c>
      <c r="E10" s="393">
        <f>IF(ISNUMBER((Datos!J10-Datos!T10)/Datos!T10),(Datos!J10-Datos!T10)/Datos!T10," - ")</f>
        <v>-0.19047619047619047</v>
      </c>
      <c r="F10" s="393">
        <f>IF(ISNUMBER((Datos!K10-Datos!U10)/Datos!U10),(Datos!K10-Datos!U10)/Datos!U10," - ")</f>
        <v>-0.2857142857142857</v>
      </c>
      <c r="G10" s="394">
        <f>IF(ISNUMBER((Datos!L10-Datos!V10)/Datos!V10),(Datos!L10-Datos!V10)/Datos!V10," - ")</f>
        <v>0.38</v>
      </c>
      <c r="H10" s="244">
        <f>IF(ISNUMBER((Datos!M10-Datos!W10)/Datos!W10),(Datos!M10-Datos!W10)/Datos!W10," - ")</f>
        <v>-0.375</v>
      </c>
      <c r="I10" s="395">
        <f>IF(ISNUMBER((Tasas!C10-Datos!BE10)/Datos!BE10),(Tasas!C10-Datos!BE10)/Datos!BE10," - ")</f>
        <v>0.93200000000000005</v>
      </c>
      <c r="J10" s="394">
        <f>IF(ISNUMBER((Tasas!D10-Datos!BF10)/Datos!BF10),(Tasas!D10-Datos!BF10)/Datos!BF10," - ")</f>
        <v>-0.12499999999999994</v>
      </c>
      <c r="K10" s="396">
        <f>IF(ISNUMBER((Tasas!E10-Datos!BG10)/Datos!BG10),(Tasas!E10-Datos!BG10)/Datos!BG10," - ")</f>
        <v>0.59743589743589753</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-0.15094339622641509</v>
      </c>
      <c r="I11" s="395">
        <f>IF(ISNUMBER((Tasas!C11-Datos!BE11)/Datos!BE11),(Tasas!C11-Datos!BE11)/Datos!BE11," - ")</f>
        <v>0.10845907636031091</v>
      </c>
      <c r="J11" s="394">
        <f>IF(ISNUMBER((Tasas!D11-Datos!BF11)/Datos!BF11),(Tasas!D11-Datos!BF11)/Datos!BF11," - ")</f>
        <v>-4.6015712682379424E-2</v>
      </c>
      <c r="K11" s="396">
        <f>IF(ISNUMBER((Tasas!E11-Datos!BG11)/Datos!BG11),(Tasas!E11-Datos!BG11)/Datos!BG11," - ")</f>
        <v>7.872029735829017E-2</v>
      </c>
      <c r="M11" t="e">
        <f>IF(Monitorios="SI",Datos!CE11,0)</f>
        <v>#REF!</v>
      </c>
      <c r="N11" t="e">
        <f>IF(Monitorios="SI",Datos!CF11,0)</f>
        <v>#REF!</v>
      </c>
      <c r="O11" t="e">
        <f>IF(Monitorios="SI",Datos!CG11,0)</f>
        <v>#REF!</v>
      </c>
      <c r="P11" t="e">
        <f>IF(Monitorios="SI",Datos!CH11,0)</f>
        <v>#REF!</v>
      </c>
      <c r="Q11">
        <f>IF(J_V="SI",0,Datos!AG11)</f>
        <v>44</v>
      </c>
      <c r="R11">
        <f>IF(J_V="SI",0,Datos!AH11)</f>
        <v>51</v>
      </c>
      <c r="S11">
        <f>IF(J_V="SI",0,Datos!AI11)</f>
        <v>50</v>
      </c>
      <c r="T11">
        <f>IF(J_V="SI",0,Datos!AJ11)</f>
        <v>45</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0.504</v>
      </c>
      <c r="I14" s="402">
        <f>IF(ISNUMBER((Tasas!C14-Datos!BE14)/Datos!BE14),(Tasas!C14-Datos!BE14)/Datos!BE14," - ")</f>
        <v>0.36142658179862125</v>
      </c>
      <c r="J14" s="400">
        <f>IF(ISNUMBER((Tasas!D14-Datos!BF14)/Datos!BF14),(Tasas!D14-Datos!BF14)/Datos!BF14," - ")</f>
        <v>-0.44823640602356501</v>
      </c>
      <c r="K14" s="403">
        <f>IF(ISNUMBER((Tasas!E14-Datos!BG14)/Datos!BG14),(Tasas!E14-Datos!BG14)/Datos!BG14," - ")</f>
        <v>0.28978075057157526</v>
      </c>
      <c r="M14" t="e">
        <f>IF(Monitorios="SI",Datos!CE14,0)</f>
        <v>#REF!</v>
      </c>
      <c r="N14" t="e">
        <f>IF(Monitorios="SI",Datos!CF14,0)</f>
        <v>#REF!</v>
      </c>
      <c r="O14" t="e">
        <f>IF(Monitorios="SI",Datos!CG14,0)</f>
        <v>#REF!</v>
      </c>
      <c r="P14" t="e">
        <f>IF(Monitorios="SI",Datos!CH14,0)</f>
        <v>#REF!</v>
      </c>
      <c r="Q14">
        <f>IF(J_V="SI",0,Datos!AG14)</f>
        <v>236</v>
      </c>
      <c r="R14">
        <f>IF(J_V="SI",0,Datos!AH14)</f>
        <v>293</v>
      </c>
      <c r="S14">
        <f>IF(J_V="SI",0,Datos!AI14)</f>
        <v>309</v>
      </c>
      <c r="T14">
        <f>IF(J_V="SI",0,Datos!AJ14)</f>
        <v>220</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0.12778505897771952</v>
      </c>
      <c r="E16" s="393">
        <f>IF(ISNUMBER(
   IF(D_I="SI",(Datos!J16-Datos!T16)/Datos!T16,(Datos!J16+Datos!AD16-(Datos!T16+Datos!AL16))/(Datos!T16+Datos!AL16))
     ),IF(D_I="SI",(Datos!J16-Datos!T16)/Datos!T16,(Datos!J16+Datos!AD16-(Datos!T16+Datos!AL16))/(Datos!T16+Datos!AL16))," - ")</f>
        <v>0.10575364667747164</v>
      </c>
      <c r="F16" s="393">
        <f>IF(ISNUMBER(
   IF(D_I="SI",(Datos!K16-Datos!U16)/Datos!U16,(Datos!K16+Datos!AE16-(Datos!U16+Datos!AM16))/(Datos!U16+Datos!AM16))
     ),IF(D_I="SI",(Datos!K16-Datos!U16)/Datos!U16,(Datos!K16+Datos!AE16-(Datos!U16+Datos!AM16))/(Datos!U16+Datos!AM16))," - ")</f>
        <v>4.457831325301205E-2</v>
      </c>
      <c r="G16" s="394">
        <f>IF(ISNUMBER(
   IF(D_I="SI",(Datos!L16-Datos!V16)/Datos!V16,(Datos!L16+Datos!AF16-(Datos!V16+Datos!AN16))/(Datos!V16+Datos!AN16))
     ),IF(D_I="SI",(Datos!L16-Datos!V16)/Datos!V16,(Datos!L16+Datos!AF16-(Datos!V16+Datos!AN16))/(Datos!V16+Datos!AN16))," - ")</f>
        <v>0.19313850063532401</v>
      </c>
      <c r="H16" s="244">
        <f>IF(ISNUMBER((Datos!M16-Datos!W16)/Datos!W16),(Datos!M16-Datos!W16)/Datos!W16," - ")</f>
        <v>-7.4733096085409248E-2</v>
      </c>
      <c r="I16" s="395">
        <f>IF(ISNUMBER((Tasas!C16-Datos!BE16)/Datos!BE16),(Tasas!C16-Datos!BE16)/Datos!BE16," - ")</f>
        <v>0.14222024858975651</v>
      </c>
      <c r="J16" s="394">
        <f>IF(ISNUMBER((Tasas!D16-Datos!BF16)/Datos!BF16),(Tasas!D16-Datos!BF16)/Datos!BF16," - ")</f>
        <v>-0.11421968829399037</v>
      </c>
      <c r="K16" s="396">
        <f>IF(ISNUMBER((Tasas!E16-Datos!BG16)/Datos!BG16),(Tasas!E16-Datos!BG16)/Datos!BG16," - ")</f>
        <v>6.6623002554581673E-2</v>
      </c>
    </row>
    <row r="17" spans="2:20" ht="14.25">
      <c r="B17" s="300" t="s">
        <v>507</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-8.4337349397590355E-2</v>
      </c>
      <c r="E18" s="393">
        <f>IF(ISNUMBER(
   IF(D_I="SI",(Datos!J18-Datos!T18)/Datos!T18,(Datos!J18+Datos!AD18-(Datos!T18+Datos!AL18))/(Datos!T18+Datos!AL18))
     ),IF(D_I="SI",(Datos!J18-Datos!T18)/Datos!T18,(Datos!J18+Datos!AD18-(Datos!T18+Datos!AL18))/(Datos!T18+Datos!AL18))," - ")</f>
        <v>1.1278195488721804E-2</v>
      </c>
      <c r="F18" s="393">
        <f>IF(ISNUMBER(
   IF(D_I="SI",(Datos!K18-Datos!U18)/Datos!U18,(Datos!K18+Datos!AE18-(Datos!U18+Datos!AM18))/(Datos!U18+Datos!AM18))
     ),IF(D_I="SI",(Datos!K18-Datos!U18)/Datos!U18,(Datos!K18+Datos!AE18-(Datos!U18+Datos!AM18))/(Datos!U18+Datos!AM18))," - ")</f>
        <v>-7.7253218884120178E-2</v>
      </c>
      <c r="G18" s="394">
        <f>IF(ISNUMBER(
   IF(D_I="SI",(Datos!L18-Datos!V18)/Datos!V18,(Datos!L18+Datos!AF18-(Datos!V18+Datos!AN18))/(Datos!V18+Datos!AN18))
     ),IF(D_I="SI",(Datos!L18-Datos!V18)/Datos!V18,(Datos!L18+Datos!AF18-(Datos!V18+Datos!AN18))/(Datos!V18+Datos!AN18))," - ")</f>
        <v>3.482587064676617E-2</v>
      </c>
      <c r="H18" s="244">
        <f>IF(ISNUMBER((Datos!M18-Datos!W18)/Datos!W18),(Datos!M18-Datos!W18)/Datos!W18," - ")</f>
        <v>2.2000000000000002</v>
      </c>
      <c r="I18" s="395">
        <f>IF(ISNUMBER((Tasas!C18-Datos!BE18)/Datos!BE18),(Tasas!C18-Datos!BE18)/Datos!BE18," - ")</f>
        <v>0.1214624551660303</v>
      </c>
      <c r="J18" s="394">
        <f>IF(ISNUMBER((Tasas!D18-Datos!BF18)/Datos!BF18),(Tasas!D18-Datos!BF18)/Datos!BF18," - ")</f>
        <v>2.4679069767441857</v>
      </c>
      <c r="K18" s="396">
        <f>IF(ISNUMBER((Tasas!E18-Datos!BG18)/Datos!BG18),(Tasas!E18-Datos!BG18)/Datos!BG18," - ")</f>
        <v>5.6126184323858783E-2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0.10691080921441229</v>
      </c>
      <c r="E23" s="399">
        <f>IF(ISNUMBER(
   IF(D_I="SI",(Datos!J23-Datos!T23)/Datos!T23,(Datos!J23+Datos!AD23-(Datos!T23+Datos!AL23))/(Datos!T23+Datos!AL23))
     ),IF(D_I="SI",(Datos!J23-Datos!T23)/Datos!T23,(Datos!J23+Datos!AD23-(Datos!T23+Datos!AL23))/(Datos!T23+Datos!AL23))," - ")</f>
        <v>9.6561814191660572E-2</v>
      </c>
      <c r="F23" s="399">
        <f>IF(ISNUMBER(
   IF(D_I="SI",(Datos!K23-Datos!U23)/Datos!U23,(Datos!K23+Datos!AE23-(Datos!U23+Datos!AM23))/(Datos!U23+Datos!AM23))
     ),IF(D_I="SI",(Datos!K23-Datos!U23)/Datos!U23,(Datos!K23+Datos!AE23-(Datos!U23+Datos!AM23))/(Datos!U23+Datos!AM23))," - ")</f>
        <v>3.4153507161219246E-2</v>
      </c>
      <c r="G23" s="400">
        <f>IF(ISNUMBER(
   IF(D_I="SI",(Datos!L23-Datos!V23)/Datos!V23,(Datos!L23+Datos!AF23-(Datos!V23+Datos!AN23))/(Datos!V23+Datos!AN23))
     ),IF(D_I="SI",(Datos!L23-Datos!V23)/Datos!V23,(Datos!L23+Datos!AF23-(Datos!V23+Datos!AN23))/(Datos!V23+Datos!AN23))," - ")</f>
        <v>0.1751126126126126</v>
      </c>
      <c r="H23" s="401">
        <f>IF(ISNUMBER((Datos!M23-Datos!W23)/Datos!W23),(Datos!M23-Datos!W23)/Datos!W23," - ")</f>
        <v>-3.4965034965034968E-2</v>
      </c>
      <c r="I23" s="402">
        <f>IF(ISNUMBER((Tasas!C23-Datos!BE23)/Datos!BE23),(Tasas!C23-Datos!BE23)/Datos!BE23," - ")</f>
        <v>0.1363038509034602</v>
      </c>
      <c r="J23" s="400">
        <f>IF(ISNUMBER((Tasas!D23-Datos!BF23)/Datos!BF23),(Tasas!D23-Datos!BF23)/Datos!BF23," - ")</f>
        <v>-6.6835863000635806E-2</v>
      </c>
      <c r="K23" s="403">
        <f>IF(ISNUMBER((Tasas!E23-Datos!BG23)/Datos!BG23),(Tasas!E23-Datos!BG23)/Datos!BG23," - ")</f>
        <v>6.4174256114339759E-2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0.50868363923426085</v>
      </c>
      <c r="E31" s="409">
        <f>IF(ISNUMBER(
   IF(J_V="SI",(Datos!J31-Datos!T31)/Datos!T31,(Datos!J31+Datos!Z31-(Datos!T31+Datos!AH31))/(Datos!T31+Datos!AH31))
     ),IF(J_V="SI",(Datos!J31-Datos!T31)/Datos!T31,(Datos!J31+Datos!Z31-(Datos!T31+Datos!AH31))/(Datos!T31+Datos!AH31))," - ")</f>
        <v>0.19835716458777</v>
      </c>
      <c r="F31" s="409">
        <f>IF(ISNUMBER(
   IF(J_V="SI",(Datos!K31-Datos!U31)/Datos!U31,(Datos!K31+Datos!AA31-(Datos!U31+Datos!AI31))/(Datos!U31+Datos!AI31))
     ),IF(J_V="SI",(Datos!K31-Datos!U31)/Datos!U31,(Datos!K31+Datos!AA31-(Datos!U31+Datos!AI31))/(Datos!U31+Datos!AI31))," - ")</f>
        <v>8.9865399841646876E-2</v>
      </c>
      <c r="G31" s="410">
        <f>IF(ISNUMBER(
   IF(J_V="SI",(Datos!L31-Datos!V31)/Datos!V31,(Datos!L31+Datos!AB31-(Datos!V31+Datos!AJ31))/(Datos!V31+Datos!AJ31))
     ),IF(J_V="SI",(Datos!L31-Datos!V31)/Datos!V31,(Datos!L31+Datos!AB31-(Datos!V31+Datos!AJ31))/(Datos!V31+Datos!AJ31))," - ")</f>
        <v>0.51213675213675214</v>
      </c>
      <c r="H31" s="411">
        <f>IF(ISNUMBER((Datos!M31-Datos!W31)/Datos!W31),(Datos!M31-Datos!W31)/Datos!W31," - ")</f>
        <v>0.30788804071246817</v>
      </c>
      <c r="I31" s="408">
        <f>IF(ISNUMBER((Tasas!C31-Datos!BE31)/Datos!BE31),(Tasas!C31-Datos!BE31)/Datos!BE31," - ")</f>
        <v>0.38745275550215619</v>
      </c>
      <c r="J31" s="409">
        <f>IF(ISNUMBER((Tasas!D31-Datos!BF31)/Datos!BF31),(Tasas!D31-Datos!BF31)/Datos!BF31," - ")</f>
        <v>-0.35659226273805728</v>
      </c>
      <c r="K31" s="410">
        <f>IF(ISNUMBER((Tasas!E31-Datos!BG31)/Datos!BG31),(Tasas!E31-Datos!BG31)/Datos!BG31," - ")</f>
        <v>0.27225002154482547</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0.13221634131092322</v>
      </c>
      <c r="E33" s="303">
        <f t="shared" si="1"/>
        <v>0.13757760267109206</v>
      </c>
      <c r="F33" s="303">
        <f t="shared" si="1"/>
        <v>0.15335896877605598</v>
      </c>
      <c r="G33" s="304">
        <f t="shared" si="1"/>
        <v>0.15077950478169805</v>
      </c>
      <c r="H33" s="310">
        <f t="shared" si="1"/>
        <v>0.88135016075314565</v>
      </c>
      <c r="I33" s="302">
        <f t="shared" si="1"/>
        <v>0.29613570706079623</v>
      </c>
      <c r="J33" s="303">
        <f t="shared" si="1"/>
        <v>1.0294144775943701</v>
      </c>
      <c r="K33" s="304">
        <f t="shared" si="1"/>
        <v>0.2021861827717468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YGzi9gowoJTsj+yw8+E2myfNgdmfQj1RgPv6M2Q/Vfg+cFvpj9dRIadefJi4tl82TDV5WJF9LJOHK4fci65Bw==" saltValue="Ihq/UDrb8tMsS7a55yUbW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2023-05-06T02:21:57Z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